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75" windowWidth="14955" windowHeight="8145" activeTab="1"/>
  </bookViews>
  <sheets>
    <sheet name="по комиссии" sheetId="1" r:id="rId1"/>
    <sheet name="Лист1" sheetId="2" r:id="rId2"/>
  </sheets>
  <definedNames/>
  <calcPr fullCalcOnLoad="1" fullPrecision="0"/>
</workbook>
</file>

<file path=xl/sharedStrings.xml><?xml version="1.0" encoding="utf-8"?>
<sst xmlns="http://schemas.openxmlformats.org/spreadsheetml/2006/main" count="385" uniqueCount="246">
  <si>
    <t>наименование работ и услуг</t>
  </si>
  <si>
    <t>Обязательные работы и услуги по содержанию и ремонту общего имущества собственников помещений в многоквартирном доме</t>
  </si>
  <si>
    <t>Сбор, вывоз и утилизация ТБО*</t>
  </si>
  <si>
    <t>Работы по текущему ремонту, в т.ч.:</t>
  </si>
  <si>
    <t>ИТОГО:</t>
  </si>
  <si>
    <t xml:space="preserve">Годовая стоимость                ( на весь дом), руб. </t>
  </si>
  <si>
    <t>ВСЕГО:</t>
  </si>
  <si>
    <t>№ акта</t>
  </si>
  <si>
    <t>Дата акта</t>
  </si>
  <si>
    <t>Стоимость</t>
  </si>
  <si>
    <t>Итого за год</t>
  </si>
  <si>
    <t>Начислено</t>
  </si>
  <si>
    <t>Оплачено</t>
  </si>
  <si>
    <t>Сальдо на начало периода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</si>
  <si>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</si>
  <si>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</si>
  <si>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</si>
  <si>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</si>
  <si>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</si>
  <si>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</si>
  <si>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</si>
  <si>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</si>
  <si>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</si>
  <si>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</si>
  <si>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</si>
  <si>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</si>
  <si>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Остаток лицевого счета</t>
  </si>
  <si>
    <t>Итого</t>
  </si>
  <si>
    <t>Работы заявочного характера, в т.ч.:</t>
  </si>
  <si>
    <t>Работы по резервному фонду, в т.ч.:</t>
  </si>
  <si>
    <t>Управление многоквартирным домом</t>
  </si>
  <si>
    <t>Уборка земельного участка, входящего в состав общего имущества</t>
  </si>
  <si>
    <t>Расчетно-кассовое обслуживание</t>
  </si>
  <si>
    <t>Аварийное обслуживание</t>
  </si>
  <si>
    <t>Обслуживание общедомовых приборов учета холодного водоснабжения</t>
  </si>
  <si>
    <t>Обслуживание общедомовых приборов учета горячего водоснабжения</t>
  </si>
  <si>
    <t>Обслуживание общедомовыз приборов учета теплоэнергии</t>
  </si>
  <si>
    <t>Дератизация</t>
  </si>
  <si>
    <t>Дезинсекция</t>
  </si>
  <si>
    <t>Организация и проведение микробиологического и санитарно - химического контроля горячего водоснабжения</t>
  </si>
  <si>
    <t>Регламентные работы по системе отопления в т.числе:</t>
  </si>
  <si>
    <t>отключение системы отопления</t>
  </si>
  <si>
    <t>гидравлическое испытание входной запорной арматуры</t>
  </si>
  <si>
    <t>ревизия элеваторного узла ( сопло )</t>
  </si>
  <si>
    <t>промывка системы отопления</t>
  </si>
  <si>
    <t>опресовка системы отопления</t>
  </si>
  <si>
    <t>промывка фильтров в тепловом пункте</t>
  </si>
  <si>
    <t>регулировка элеваторного узла</t>
  </si>
  <si>
    <t>заполнение системы отопления технической водой с удалением воздушных пробок</t>
  </si>
  <si>
    <t>подключение системы отопления с регулировкой</t>
  </si>
  <si>
    <t>Регламентные работы по системе электроснабжени в т.числе:</t>
  </si>
  <si>
    <t>ревизия ШР, ЩЭ</t>
  </si>
  <si>
    <t>ревизия ВРУ</t>
  </si>
  <si>
    <t>Сбор, вывоз и утилизация ТБО, руб/м2</t>
  </si>
  <si>
    <t>Жители МКД</t>
  </si>
  <si>
    <t>Задолженность за жителями и ЮЛ</t>
  </si>
  <si>
    <t>Уборка мусоропроводов</t>
  </si>
  <si>
    <t>Ремонт мусорокамер (согласно СанПиН 2.1.2.2645 - 10 утвержденного Постановлением Главного госуд.сан.врача от 10.06.2010 г. № 64)</t>
  </si>
  <si>
    <t>Санобработка мусорокамер (согласно СанПиН 2.1.2.2645 - 10 утвержденного Постановлением Главного госуд.сан.врача от 10.06.2010 г. № 64)</t>
  </si>
  <si>
    <t>Уборка лестничных клеток*</t>
  </si>
  <si>
    <t>Обслуживание лифтов*</t>
  </si>
  <si>
    <t>Обслуживание вводных и внутренних газопроводов жилого фонда</t>
  </si>
  <si>
    <t>ЗАО "Корпорация"</t>
  </si>
  <si>
    <t>Приложение №1</t>
  </si>
  <si>
    <t>к дополнительному соглашению№_______</t>
  </si>
  <si>
    <t>2013-2014г.</t>
  </si>
  <si>
    <t>к договору управления многоквартирным домом</t>
  </si>
  <si>
    <t xml:space="preserve">от _____________ 2008г </t>
  </si>
  <si>
    <t>Перечень работ и услуг по содержанию и ремонту общего имущества в многоквартирном доме</t>
  </si>
  <si>
    <t>по адресу: ул. Зеленова, д.1/28 (Sобщ.=2564,3м2, Sзем.уч.=1133м2)</t>
  </si>
  <si>
    <t>(многоквартирный дом с газовыми плитами и повышающими насосами)</t>
  </si>
  <si>
    <t>Расчет размера платы за содержание и ремонт общего имущества в многоквартирном доме</t>
  </si>
  <si>
    <t>периодичность выполняемых работ</t>
  </si>
  <si>
    <t>Годовой размер платы на 1м2 общей площади помещения (рублей)</t>
  </si>
  <si>
    <t xml:space="preserve">Стоимость на 1м2 общей площади помещения (рублей в месяц) </t>
  </si>
  <si>
    <t>ежемесячно</t>
  </si>
  <si>
    <t>договорная и претензионно-исковая работа, взыскание задолженности по ЖКУ</t>
  </si>
  <si>
    <t>постоянно</t>
  </si>
  <si>
    <t>ведение технической документации</t>
  </si>
  <si>
    <t>осмотр мест общего пользования и инженерных сетей</t>
  </si>
  <si>
    <t>1 раз в квартал</t>
  </si>
  <si>
    <t>работа с обращениями граждан</t>
  </si>
  <si>
    <t>подметание земельного участка в летний период</t>
  </si>
  <si>
    <t>6 раз в неделю</t>
  </si>
  <si>
    <t>уборка мусора с газона</t>
  </si>
  <si>
    <t>окос травы</t>
  </si>
  <si>
    <t>2-3 раза</t>
  </si>
  <si>
    <t>сдвижка и подметание снега при отсутствии снегопадов</t>
  </si>
  <si>
    <t>сдвижка и подметание снега при снегопаде</t>
  </si>
  <si>
    <t>по мере необходимости</t>
  </si>
  <si>
    <t>погрузка мусора на автотранспорт вручную</t>
  </si>
  <si>
    <t>очистка урн отмусора</t>
  </si>
  <si>
    <t>посыпка территории песко - соляной смесью</t>
  </si>
  <si>
    <t>1 раз в сутки во время гололеда</t>
  </si>
  <si>
    <t>1 раз в месяц</t>
  </si>
  <si>
    <t>круглосуточно</t>
  </si>
  <si>
    <t>профилактический осмотр мусоропроводов</t>
  </si>
  <si>
    <t>2 раза в месяц</t>
  </si>
  <si>
    <t>удаление мусора из мусороприемных камер</t>
  </si>
  <si>
    <t>ежедневно</t>
  </si>
  <si>
    <t>уборка мусороприемных камер</t>
  </si>
  <si>
    <t>уборка загрузочных клапанов мусоропроводов</t>
  </si>
  <si>
    <t>1 раз в неделю</t>
  </si>
  <si>
    <t>устранение засоров</t>
  </si>
  <si>
    <t>Ремонт мусорокамер (согласно СанПиН 2.1.2.2645 - 10 утвержденного Постановлением Главного госуд.санит.врача от 10.06.2010 г. № 64)</t>
  </si>
  <si>
    <t>ремонт пола в мусорокамере 5 м2</t>
  </si>
  <si>
    <t>устройство резиновых уплотнителей на крышке клапанов 9,6 п.м.</t>
  </si>
  <si>
    <t>Санобработка мусорокамер (согласно СанПиН 2.1.2.2645 - 10 утвержденного Постановлением Главного госуд.санит.врача от 10.06.2010 г. № 64)</t>
  </si>
  <si>
    <t>6 раз в год (апрель сентябрь)</t>
  </si>
  <si>
    <t>Уборка лестничных клеток</t>
  </si>
  <si>
    <t>подметание полов во всех помещениях общего пользования</t>
  </si>
  <si>
    <t>влажная уборка помещений</t>
  </si>
  <si>
    <t>протирка стен, дверей входных, оконных решеток, шкафов для электросчетчиков, почтовых ящиков</t>
  </si>
  <si>
    <t>1 раз в год</t>
  </si>
  <si>
    <t>влажная протирка подоконников, отопительных приборов</t>
  </si>
  <si>
    <t>2 раза в год</t>
  </si>
  <si>
    <t>уборка площадки перед входом в подъезд</t>
  </si>
  <si>
    <t>Обслуживание лифтов</t>
  </si>
  <si>
    <t>ежедневно с 06.00 - 23.00час.</t>
  </si>
  <si>
    <t>Обслуживание общедомовых приборов учета теплоэнергии</t>
  </si>
  <si>
    <t>Поверка общедомовых приборов учета холодного водоснабжения</t>
  </si>
  <si>
    <t>Поверка общедомовых приборов учета горячего водоснабжения</t>
  </si>
  <si>
    <t>Поверка общедомовых приборов учета теплоэнергии</t>
  </si>
  <si>
    <t>12 раз в год</t>
  </si>
  <si>
    <t>6 раз в год</t>
  </si>
  <si>
    <t>1 раз в 4 месяца</t>
  </si>
  <si>
    <t>ревизия задвижек отопления ( д.80мм-4 шт., д.100мм-1шт.)</t>
  </si>
  <si>
    <t>Регламентные работы по системе горячего водоснабжения в т.числе:</t>
  </si>
  <si>
    <t>проверка бойлера на предмет накипиобразования латунных трубок ( со снятием калачей )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</si>
  <si>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</si>
  <si>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</si>
  <si>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>установка модуля проверки лежаков системы ГВС на закипание</t>
  </si>
  <si>
    <t>1 раз</t>
  </si>
  <si>
    <t>проверка лежаков ГВС на закипание</t>
  </si>
  <si>
    <t>установка шарового крана на выходе с ВВП горячей воды для взятия проб,сдачи анализа ГВС ф 15</t>
  </si>
  <si>
    <t>замена насоса ГВС / резерв /</t>
  </si>
  <si>
    <t>проверка работы регулятора температуры на бойлере</t>
  </si>
  <si>
    <t>замена ( поверка ) КИП</t>
  </si>
  <si>
    <t>перевод реле времени</t>
  </si>
  <si>
    <t>замена трансформатора тока</t>
  </si>
  <si>
    <t>восстановление подъездного освещения</t>
  </si>
  <si>
    <t>восстановление подвального освещения</t>
  </si>
  <si>
    <t>восстановление чердачного освещения</t>
  </si>
  <si>
    <t>восстановление общедомового уличного освещения</t>
  </si>
  <si>
    <t>Регламентные работы по системе водоотведения в т.числе:</t>
  </si>
  <si>
    <t>прочистка канализационных выпусков до стены здания</t>
  </si>
  <si>
    <t>Регламентные работы по системе вентиляции в т.числе:</t>
  </si>
  <si>
    <t>проверка вентиляционных каналов и канализационных вытяжек</t>
  </si>
  <si>
    <t>Регламентные работы по содержанию кровли в т.числе:</t>
  </si>
  <si>
    <t>очистка кровли от снега и наледи (в районе водоприемных воронок)</t>
  </si>
  <si>
    <t>3 раза в год</t>
  </si>
  <si>
    <t>восстановление водостоков ( мелкий ремонт после очистки от снега и льда )</t>
  </si>
  <si>
    <t>Страхование общедомового имущества</t>
  </si>
  <si>
    <t>ремонт кровли</t>
  </si>
  <si>
    <t>смена запорной арматуры (отопление чердак)</t>
  </si>
  <si>
    <t>смена запорной арматуры (водоснабжение)</t>
  </si>
  <si>
    <t>смена запорной арматуры (элеваторный узел)</t>
  </si>
  <si>
    <t xml:space="preserve">смена трубопровода </t>
  </si>
  <si>
    <t>укрепление элеваторного узла</t>
  </si>
  <si>
    <t>смена и ремонт секций бойлера</t>
  </si>
  <si>
    <t>Погашение задолженности прошлых периодов</t>
  </si>
  <si>
    <t>по состоянию на 1.05.2012г.</t>
  </si>
  <si>
    <t>очистка от снега и наледи подъездных козырьков</t>
  </si>
  <si>
    <t>руб./чел.</t>
  </si>
  <si>
    <t>Предлагаемый перечень работ по текущему ремонту                                       ( на выбор собственников)</t>
  </si>
  <si>
    <t>уборка мусора в подвале</t>
  </si>
  <si>
    <t>замена почтовых ящиков</t>
  </si>
  <si>
    <t>окраска трубопровода ХВС грунтовкой</t>
  </si>
  <si>
    <t>установка электронного регулятора температуры на ВВП</t>
  </si>
  <si>
    <t>установка элеватора на магазины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</si>
  <si>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</si>
  <si>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</si>
  <si>
    <t>Лицевой счет многоквартирного дома по адресу: ул. Зеленова, д. 1/28 на период с 1 мая 2013 по 30 апреля 2014 года</t>
  </si>
  <si>
    <t>133</t>
  </si>
  <si>
    <t xml:space="preserve">Замена светильников в подъезде при входе </t>
  </si>
  <si>
    <t>108</t>
  </si>
  <si>
    <t>Перевод ВВП на летнюю схему</t>
  </si>
  <si>
    <t>113</t>
  </si>
  <si>
    <t>143</t>
  </si>
  <si>
    <t>Ревизия эл.щитка, замена деталей  (кв.9)</t>
  </si>
  <si>
    <t xml:space="preserve">Замена светильника в подъезде  </t>
  </si>
  <si>
    <t>149</t>
  </si>
  <si>
    <t>148</t>
  </si>
  <si>
    <t>Опрессовка бойлера</t>
  </si>
  <si>
    <t>3 квартал               (ноябрь-январь)</t>
  </si>
  <si>
    <t>1 квартал               (май-июль)</t>
  </si>
  <si>
    <t>2 квартал             (август-октябрь)</t>
  </si>
  <si>
    <t>4 квартал          (февраль-апрель)</t>
  </si>
  <si>
    <t>166</t>
  </si>
  <si>
    <t>Подключение системы отопления после работ ТПК</t>
  </si>
  <si>
    <t>170</t>
  </si>
  <si>
    <t>190</t>
  </si>
  <si>
    <t>194</t>
  </si>
  <si>
    <t>211</t>
  </si>
  <si>
    <t>Перевод ВВП на зимнюю схему</t>
  </si>
  <si>
    <t>236</t>
  </si>
  <si>
    <t xml:space="preserve">Замена патрона подвесного в подъезде </t>
  </si>
  <si>
    <t>228</t>
  </si>
  <si>
    <t>Выполнено работ на сумму</t>
  </si>
  <si>
    <t>Начислено за год</t>
  </si>
  <si>
    <t>Оплачено жителями за год</t>
  </si>
  <si>
    <t>Переплата(+) / Долг(-) жителей по оплате за год</t>
  </si>
  <si>
    <t>Экономия(+) / Перерасход(-) из-за невыполненных работ</t>
  </si>
  <si>
    <t>Остаток(+) / Долг(-) на 1.05.13г.</t>
  </si>
  <si>
    <t>Итого: прогноз Экономия(+) / Долг(-) на 1.05.2014</t>
  </si>
  <si>
    <t>Выполнено работ заявочного характера</t>
  </si>
  <si>
    <t>Экономия(+) / Перерасход(-) по Р.Р.</t>
  </si>
  <si>
    <t>Экономия(+) / Перерасход(-) по Т.Р.</t>
  </si>
  <si>
    <t xml:space="preserve">Общая Экономия(+) / Перерасход(-) по Р.Р. + Т.Р. </t>
  </si>
  <si>
    <t xml:space="preserve"> (Общая экономия минус Работы заяв.хар-ра)</t>
  </si>
  <si>
    <t>Сальдо</t>
  </si>
  <si>
    <t>не заложено (по тарифу)</t>
  </si>
  <si>
    <t>1</t>
  </si>
  <si>
    <t>Ремонт двери выхода на кровлю</t>
  </si>
  <si>
    <t>229</t>
  </si>
  <si>
    <t>ремонт пола в мусорокамере 1,2 м2</t>
  </si>
  <si>
    <t>30.09.2013 (акт от 7.10.13)</t>
  </si>
  <si>
    <t>изготовление, установка элеваторного узла; перенос трубопровода ХВС</t>
  </si>
  <si>
    <t>30.09.2013 (акт от 28.10.13)</t>
  </si>
  <si>
    <t>30.09.2013 (акт от 2.12.13)</t>
  </si>
  <si>
    <t>Удаление антикорозийной накипи с пластинчатого теплообменника</t>
  </si>
  <si>
    <t>264</t>
  </si>
  <si>
    <t>Замена патрона подвесного и лампочки в подъезде (кв.44)</t>
  </si>
  <si>
    <t>257</t>
  </si>
  <si>
    <t>265</t>
  </si>
  <si>
    <t>Демонтаж, монтаж ванны, замена канализации (кв.32)</t>
  </si>
  <si>
    <t>Определение промочки (кв.13)</t>
  </si>
  <si>
    <t>3</t>
  </si>
  <si>
    <t>Ревизия эл.щитка (кв.19)</t>
  </si>
  <si>
    <t>18</t>
  </si>
  <si>
    <t>Оценка соответствия лифта</t>
  </si>
  <si>
    <t>ЦЭС-2013/1394-1</t>
  </si>
  <si>
    <t>24</t>
  </si>
  <si>
    <t>уборка мусора в тех.подвале</t>
  </si>
  <si>
    <t>А.В. Митрофанов</t>
  </si>
  <si>
    <t>Генеральный директор</t>
  </si>
  <si>
    <t>Экономист 2-ой категории по учету лицевых счетов МКД</t>
  </si>
  <si>
    <t>Установка доводчика</t>
  </si>
  <si>
    <t>34</t>
  </si>
  <si>
    <t>Услуги типографии по печати доп.соглашений</t>
  </si>
  <si>
    <t>151</t>
  </si>
  <si>
    <t>50</t>
  </si>
  <si>
    <t>Замок</t>
  </si>
  <si>
    <t>А/о № 37</t>
  </si>
  <si>
    <t>Шайба регулировочная</t>
  </si>
  <si>
    <t>Н.Ф.Каюткина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</si>
</sst>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"/>
    <numFmt numFmtId="166" formatCode="#,##0.0"/>
    <numFmt numFmtId="167" formatCode="0.000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2"/>
      <name val="Arial Cyr"/>
      <family val="0"/>
    </font>
    <font>
      <sz val="11"/>
      <name val="Arial Black"/>
      <family val="2"/>
    </font>
    <font>
      <sz val="10"/>
      <color indexed="10"/>
      <name val="Arial Cyr"/>
      <family val="2"/>
    </font>
    <font>
      <sz val="12"/>
      <name val="Arial Black"/>
      <family val="2"/>
    </font>
    <font>
      <b/>
      <sz val="10"/>
      <name val="Arial Cyr"/>
      <family val="0"/>
    </font>
    <font>
      <b/>
      <sz val="12"/>
      <name val="Arial Black"/>
      <family val="2"/>
    </font>
    <font>
      <b/>
      <sz val="12"/>
      <name val="Arial Cyr"/>
      <family val="0"/>
    </font>
    <font>
      <b/>
      <i/>
      <u val="single"/>
      <sz val="22"/>
      <name val="Arial Cyr"/>
      <family val="0"/>
    </font>
    <font>
      <sz val="11"/>
      <name val="Arial Cyr"/>
      <family val="2"/>
    </font>
    <font>
      <sz val="10"/>
      <name val="Arial"/>
      <family val="2"/>
    </font>
    <font>
      <sz val="9"/>
      <name val="Arial Black"/>
      <family val="2"/>
    </font>
    <font>
      <sz val="10"/>
      <color indexed="10"/>
      <name val="Arial Black"/>
      <family val="2"/>
    </font>
    <font>
      <sz val="11"/>
      <name val="Arial"/>
      <family val="2"/>
    </font>
    <font>
      <sz val="20"/>
      <name val="Arial Black"/>
      <family val="2"/>
    </font>
    <font>
      <sz val="18"/>
      <name val="Arial Black"/>
      <family val="2"/>
    </font>
    <font>
      <b/>
      <sz val="11"/>
      <name val="Arial Cyr"/>
      <family val="0"/>
    </font>
    <font>
      <sz val="16"/>
      <name val="Arial Cyr"/>
      <family val="0"/>
    </font>
    <font>
      <sz val="10"/>
      <color indexed="8"/>
      <name val="Arial Black"/>
      <family val="2"/>
    </font>
    <font>
      <b/>
      <sz val="12"/>
      <color indexed="10"/>
      <name val="Arial Cyr"/>
      <family val="0"/>
    </font>
    <font>
      <sz val="10"/>
      <color theme="1"/>
      <name val="Arial Black"/>
      <family val="2"/>
    </font>
    <font>
      <sz val="10"/>
      <color rgb="FFFF0000"/>
      <name val="Arial Cyr"/>
      <family val="0"/>
    </font>
    <font>
      <b/>
      <sz val="12"/>
      <color rgb="FFFF0000"/>
      <name val="Arial Cyr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theme="6"/>
        <bgColor indexed="64"/>
      </patternFill>
    </fill>
  </fills>
  <borders count="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ck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ck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ck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/>
    </border>
    <border>
      <left style="thin"/>
      <right style="medium"/>
      <top style="medium"/>
      <bottom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ck"/>
      <top style="thin"/>
      <bottom>
        <color indexed="63"/>
      </bottom>
    </border>
    <border>
      <left style="medium"/>
      <right style="thick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81">
    <xf numFmtId="0" fontId="0" fillId="0" borderId="0" xfId="0" applyAlignment="1">
      <alignment/>
    </xf>
    <xf numFmtId="2" fontId="0" fillId="24" borderId="10" xfId="0" applyNumberFormat="1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/>
    </xf>
    <xf numFmtId="0" fontId="0" fillId="24" borderId="0" xfId="0" applyFill="1" applyAlignment="1">
      <alignment/>
    </xf>
    <xf numFmtId="0" fontId="20" fillId="24" borderId="11" xfId="0" applyFont="1" applyFill="1" applyBorder="1" applyAlignment="1">
      <alignment horizontal="left" vertical="center" wrapText="1"/>
    </xf>
    <xf numFmtId="0" fontId="18" fillId="24" borderId="0" xfId="0" applyFont="1" applyFill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 wrapText="1"/>
    </xf>
    <xf numFmtId="0" fontId="21" fillId="24" borderId="0" xfId="0" applyFont="1" applyFill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22" fillId="24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 wrapText="1"/>
    </xf>
    <xf numFmtId="0" fontId="19" fillId="24" borderId="0" xfId="0" applyFont="1" applyFill="1" applyAlignment="1">
      <alignment horizontal="center" vertical="center"/>
    </xf>
    <xf numFmtId="0" fontId="0" fillId="0" borderId="12" xfId="0" applyFont="1" applyFill="1" applyBorder="1" applyAlignment="1">
      <alignment horizontal="left" vertical="center" wrapText="1"/>
    </xf>
    <xf numFmtId="0" fontId="0" fillId="24" borderId="10" xfId="0" applyFont="1" applyFill="1" applyBorder="1" applyAlignment="1">
      <alignment horizontal="center" vertical="center" wrapText="1"/>
    </xf>
    <xf numFmtId="2" fontId="18" fillId="25" borderId="13" xfId="0" applyNumberFormat="1" applyFont="1" applyFill="1" applyBorder="1" applyAlignment="1">
      <alignment horizontal="center" vertical="center" wrapText="1"/>
    </xf>
    <xf numFmtId="2" fontId="0" fillId="25" borderId="14" xfId="0" applyNumberFormat="1" applyFont="1" applyFill="1" applyBorder="1" applyAlignment="1">
      <alignment horizontal="center" vertical="center" wrapText="1"/>
    </xf>
    <xf numFmtId="0" fontId="18" fillId="24" borderId="14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18" fillId="24" borderId="16" xfId="0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2" fontId="0" fillId="25" borderId="18" xfId="0" applyNumberFormat="1" applyFont="1" applyFill="1" applyBorder="1" applyAlignment="1">
      <alignment horizontal="center" vertical="center" wrapText="1"/>
    </xf>
    <xf numFmtId="2" fontId="22" fillId="24" borderId="19" xfId="0" applyNumberFormat="1" applyFont="1" applyFill="1" applyBorder="1" applyAlignment="1">
      <alignment horizontal="center"/>
    </xf>
    <xf numFmtId="0" fontId="18" fillId="24" borderId="16" xfId="0" applyFont="1" applyFill="1" applyBorder="1" applyAlignment="1">
      <alignment horizontal="center" vertical="center"/>
    </xf>
    <xf numFmtId="2" fontId="22" fillId="24" borderId="16" xfId="0" applyNumberFormat="1" applyFont="1" applyFill="1" applyBorder="1" applyAlignment="1">
      <alignment horizontal="center" vertical="center" wrapText="1"/>
    </xf>
    <xf numFmtId="2" fontId="22" fillId="0" borderId="16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center" vertical="center" wrapText="1"/>
    </xf>
    <xf numFmtId="0" fontId="18" fillId="24" borderId="20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21" fillId="24" borderId="20" xfId="0" applyFont="1" applyFill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center" vertical="center" wrapText="1"/>
    </xf>
    <xf numFmtId="2" fontId="0" fillId="24" borderId="20" xfId="0" applyNumberFormat="1" applyFont="1" applyFill="1" applyBorder="1" applyAlignment="1">
      <alignment horizontal="center" vertical="center" wrapText="1"/>
    </xf>
    <xf numFmtId="0" fontId="0" fillId="24" borderId="0" xfId="0" applyFill="1" applyBorder="1" applyAlignment="1">
      <alignment horizontal="center" vertical="center"/>
    </xf>
    <xf numFmtId="0" fontId="0" fillId="24" borderId="21" xfId="0" applyFont="1" applyFill="1" applyBorder="1" applyAlignment="1">
      <alignment horizontal="center" vertical="center" wrapText="1"/>
    </xf>
    <xf numFmtId="0" fontId="18" fillId="24" borderId="21" xfId="0" applyFont="1" applyFill="1" applyBorder="1" applyAlignment="1">
      <alignment horizontal="center" vertical="center" wrapText="1"/>
    </xf>
    <xf numFmtId="0" fontId="0" fillId="24" borderId="21" xfId="0" applyFont="1" applyFill="1" applyBorder="1" applyAlignment="1">
      <alignment horizontal="center" vertical="center" wrapText="1"/>
    </xf>
    <xf numFmtId="2" fontId="0" fillId="24" borderId="21" xfId="0" applyNumberFormat="1" applyFont="1" applyFill="1" applyBorder="1" applyAlignment="1">
      <alignment horizontal="center" vertical="center" wrapText="1"/>
    </xf>
    <xf numFmtId="0" fontId="0" fillId="24" borderId="22" xfId="0" applyFont="1" applyFill="1" applyBorder="1" applyAlignment="1">
      <alignment horizontal="center" vertical="center" wrapText="1"/>
    </xf>
    <xf numFmtId="0" fontId="0" fillId="24" borderId="23" xfId="0" applyFont="1" applyFill="1" applyBorder="1" applyAlignment="1">
      <alignment horizontal="left" vertical="center" wrapText="1"/>
    </xf>
    <xf numFmtId="0" fontId="0" fillId="25" borderId="23" xfId="0" applyFont="1" applyFill="1" applyBorder="1" applyAlignment="1">
      <alignment horizontal="left" vertical="center" wrapText="1"/>
    </xf>
    <xf numFmtId="0" fontId="22" fillId="24" borderId="24" xfId="0" applyFont="1" applyFill="1" applyBorder="1" applyAlignment="1">
      <alignment horizontal="left" vertical="center" wrapText="1"/>
    </xf>
    <xf numFmtId="0" fontId="20" fillId="24" borderId="22" xfId="0" applyFont="1" applyFill="1" applyBorder="1" applyAlignment="1">
      <alignment horizontal="left" vertical="center" wrapText="1"/>
    </xf>
    <xf numFmtId="0" fontId="22" fillId="0" borderId="24" xfId="0" applyFont="1" applyFill="1" applyBorder="1" applyAlignment="1">
      <alignment horizontal="left" vertical="center"/>
    </xf>
    <xf numFmtId="0" fontId="0" fillId="24" borderId="18" xfId="0" applyFont="1" applyFill="1" applyBorder="1" applyAlignment="1">
      <alignment horizontal="center" vertical="center" wrapText="1"/>
    </xf>
    <xf numFmtId="0" fontId="18" fillId="24" borderId="18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21" fillId="24" borderId="18" xfId="0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center" vertical="center" wrapText="1"/>
    </xf>
    <xf numFmtId="0" fontId="22" fillId="24" borderId="18" xfId="0" applyFont="1" applyFill="1" applyBorder="1" applyAlignment="1">
      <alignment horizontal="center" vertical="center"/>
    </xf>
    <xf numFmtId="0" fontId="38" fillId="24" borderId="18" xfId="0" applyFont="1" applyFill="1" applyBorder="1" applyAlignment="1">
      <alignment horizontal="center" vertical="center" wrapText="1"/>
    </xf>
    <xf numFmtId="0" fontId="0" fillId="24" borderId="25" xfId="0" applyFont="1" applyFill="1" applyBorder="1" applyAlignment="1">
      <alignment horizontal="center" vertical="center" wrapText="1"/>
    </xf>
    <xf numFmtId="0" fontId="0" fillId="24" borderId="26" xfId="0" applyFill="1" applyBorder="1" applyAlignment="1">
      <alignment horizontal="center" vertical="center"/>
    </xf>
    <xf numFmtId="0" fontId="0" fillId="25" borderId="26" xfId="0" applyFill="1" applyBorder="1" applyAlignment="1">
      <alignment horizontal="center" vertical="center" wrapText="1"/>
    </xf>
    <xf numFmtId="0" fontId="0" fillId="24" borderId="26" xfId="0" applyFill="1" applyBorder="1" applyAlignment="1">
      <alignment horizontal="left" vertical="center"/>
    </xf>
    <xf numFmtId="0" fontId="23" fillId="24" borderId="26" xfId="0" applyFont="1" applyFill="1" applyBorder="1" applyAlignment="1">
      <alignment horizontal="center" vertical="center"/>
    </xf>
    <xf numFmtId="0" fontId="18" fillId="25" borderId="12" xfId="0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horizontal="left" vertical="center" wrapText="1"/>
    </xf>
    <xf numFmtId="0" fontId="18" fillId="0" borderId="27" xfId="0" applyFont="1" applyFill="1" applyBorder="1" applyAlignment="1">
      <alignment horizontal="left" vertical="center" wrapText="1"/>
    </xf>
    <xf numFmtId="2" fontId="18" fillId="24" borderId="21" xfId="0" applyNumberFormat="1" applyFont="1" applyFill="1" applyBorder="1" applyAlignment="1">
      <alignment horizontal="center" vertical="center" wrapText="1"/>
    </xf>
    <xf numFmtId="2" fontId="0" fillId="25" borderId="14" xfId="0" applyNumberFormat="1" applyFont="1" applyFill="1" applyBorder="1" applyAlignment="1">
      <alignment horizontal="center" vertical="center" wrapText="1"/>
    </xf>
    <xf numFmtId="0" fontId="39" fillId="25" borderId="26" xfId="0" applyFont="1" applyFill="1" applyBorder="1" applyAlignment="1">
      <alignment horizontal="center" vertical="center" wrapText="1"/>
    </xf>
    <xf numFmtId="0" fontId="0" fillId="24" borderId="28" xfId="0" applyFont="1" applyFill="1" applyBorder="1" applyAlignment="1">
      <alignment horizontal="center" vertical="center" wrapText="1"/>
    </xf>
    <xf numFmtId="0" fontId="0" fillId="24" borderId="29" xfId="0" applyFont="1" applyFill="1" applyBorder="1" applyAlignment="1">
      <alignment horizontal="center" vertical="center" wrapText="1"/>
    </xf>
    <xf numFmtId="2" fontId="0" fillId="25" borderId="19" xfId="0" applyNumberFormat="1" applyFont="1" applyFill="1" applyBorder="1" applyAlignment="1">
      <alignment horizontal="center" vertical="center" wrapText="1"/>
    </xf>
    <xf numFmtId="0" fontId="0" fillId="24" borderId="30" xfId="0" applyFill="1" applyBorder="1" applyAlignment="1">
      <alignment horizontal="center" vertical="center"/>
    </xf>
    <xf numFmtId="0" fontId="0" fillId="24" borderId="31" xfId="0" applyFill="1" applyBorder="1" applyAlignment="1">
      <alignment horizontal="center" vertical="center"/>
    </xf>
    <xf numFmtId="0" fontId="22" fillId="24" borderId="32" xfId="0" applyFont="1" applyFill="1" applyBorder="1" applyAlignment="1">
      <alignment horizontal="left" vertical="center" wrapText="1"/>
    </xf>
    <xf numFmtId="0" fontId="0" fillId="24" borderId="33" xfId="0" applyFill="1" applyBorder="1" applyAlignment="1">
      <alignment horizontal="center" vertical="center"/>
    </xf>
    <xf numFmtId="2" fontId="23" fillId="24" borderId="34" xfId="0" applyNumberFormat="1" applyFont="1" applyFill="1" applyBorder="1" applyAlignment="1">
      <alignment horizontal="center" vertical="center"/>
    </xf>
    <xf numFmtId="0" fontId="0" fillId="24" borderId="35" xfId="0" applyFont="1" applyFill="1" applyBorder="1" applyAlignment="1">
      <alignment horizontal="center" vertical="center" wrapText="1"/>
    </xf>
    <xf numFmtId="0" fontId="0" fillId="24" borderId="36" xfId="0" applyFont="1" applyFill="1" applyBorder="1" applyAlignment="1">
      <alignment horizontal="center" vertical="center" wrapText="1"/>
    </xf>
    <xf numFmtId="0" fontId="22" fillId="24" borderId="37" xfId="0" applyFont="1" applyFill="1" applyBorder="1" applyAlignment="1">
      <alignment horizontal="center" vertical="center"/>
    </xf>
    <xf numFmtId="0" fontId="22" fillId="24" borderId="35" xfId="0" applyFont="1" applyFill="1" applyBorder="1" applyAlignment="1">
      <alignment horizontal="center" vertical="center"/>
    </xf>
    <xf numFmtId="0" fontId="22" fillId="24" borderId="38" xfId="0" applyFont="1" applyFill="1" applyBorder="1" applyAlignment="1">
      <alignment horizontal="center" vertical="center"/>
    </xf>
    <xf numFmtId="0" fontId="22" fillId="24" borderId="39" xfId="0" applyFont="1" applyFill="1" applyBorder="1" applyAlignment="1">
      <alignment horizontal="center" vertical="center"/>
    </xf>
    <xf numFmtId="0" fontId="22" fillId="24" borderId="13" xfId="0" applyFont="1" applyFill="1" applyBorder="1" applyAlignment="1">
      <alignment horizontal="center" vertical="center"/>
    </xf>
    <xf numFmtId="0" fontId="24" fillId="24" borderId="24" xfId="0" applyFont="1" applyFill="1" applyBorder="1" applyAlignment="1">
      <alignment horizontal="left" vertical="center" wrapText="1"/>
    </xf>
    <xf numFmtId="0" fontId="25" fillId="24" borderId="11" xfId="0" applyFont="1" applyFill="1" applyBorder="1" applyAlignment="1">
      <alignment horizontal="center" vertical="center" wrapText="1"/>
    </xf>
    <xf numFmtId="0" fontId="25" fillId="24" borderId="40" xfId="0" applyFont="1" applyFill="1" applyBorder="1" applyAlignment="1">
      <alignment horizontal="center" vertical="center" wrapText="1"/>
    </xf>
    <xf numFmtId="0" fontId="25" fillId="24" borderId="18" xfId="0" applyFont="1" applyFill="1" applyBorder="1" applyAlignment="1">
      <alignment horizontal="center" vertical="center" wrapText="1"/>
    </xf>
    <xf numFmtId="2" fontId="25" fillId="25" borderId="14" xfId="0" applyNumberFormat="1" applyFont="1" applyFill="1" applyBorder="1" applyAlignment="1">
      <alignment horizontal="center" vertical="center" wrapText="1"/>
    </xf>
    <xf numFmtId="0" fontId="25" fillId="24" borderId="0" xfId="0" applyFont="1" applyFill="1" applyAlignment="1">
      <alignment horizontal="center" vertical="center" wrapText="1"/>
    </xf>
    <xf numFmtId="2" fontId="25" fillId="24" borderId="41" xfId="0" applyNumberFormat="1" applyFont="1" applyFill="1" applyBorder="1" applyAlignment="1">
      <alignment horizontal="center" vertical="center" wrapText="1"/>
    </xf>
    <xf numFmtId="0" fontId="25" fillId="24" borderId="16" xfId="0" applyFont="1" applyFill="1" applyBorder="1" applyAlignment="1">
      <alignment horizontal="center" vertical="center" wrapText="1"/>
    </xf>
    <xf numFmtId="0" fontId="25" fillId="24" borderId="42" xfId="0" applyFont="1" applyFill="1" applyBorder="1" applyAlignment="1">
      <alignment horizontal="center" vertical="center" wrapText="1"/>
    </xf>
    <xf numFmtId="2" fontId="25" fillId="25" borderId="43" xfId="0" applyNumberFormat="1" applyFont="1" applyFill="1" applyBorder="1" applyAlignment="1">
      <alignment horizontal="center" vertical="center" wrapText="1"/>
    </xf>
    <xf numFmtId="0" fontId="25" fillId="24" borderId="44" xfId="0" applyFont="1" applyFill="1" applyBorder="1" applyAlignment="1">
      <alignment horizontal="center" vertical="center" wrapText="1"/>
    </xf>
    <xf numFmtId="2" fontId="25" fillId="25" borderId="10" xfId="0" applyNumberFormat="1" applyFont="1" applyFill="1" applyBorder="1" applyAlignment="1">
      <alignment horizontal="center" vertical="center" wrapText="1"/>
    </xf>
    <xf numFmtId="2" fontId="25" fillId="24" borderId="40" xfId="0" applyNumberFormat="1" applyFont="1" applyFill="1" applyBorder="1" applyAlignment="1">
      <alignment horizontal="center" vertical="center" wrapText="1"/>
    </xf>
    <xf numFmtId="2" fontId="25" fillId="24" borderId="16" xfId="0" applyNumberFormat="1" applyFont="1" applyFill="1" applyBorder="1" applyAlignment="1">
      <alignment horizontal="center" vertical="center" wrapText="1"/>
    </xf>
    <xf numFmtId="2" fontId="18" fillId="25" borderId="10" xfId="0" applyNumberFormat="1" applyFont="1" applyFill="1" applyBorder="1" applyAlignment="1">
      <alignment horizontal="center" vertical="center" wrapText="1"/>
    </xf>
    <xf numFmtId="0" fontId="18" fillId="24" borderId="45" xfId="0" applyFont="1" applyFill="1" applyBorder="1" applyAlignment="1">
      <alignment horizontal="center" vertical="center" wrapText="1"/>
    </xf>
    <xf numFmtId="0" fontId="18" fillId="24" borderId="46" xfId="0" applyFont="1" applyFill="1" applyBorder="1" applyAlignment="1">
      <alignment horizontal="center" vertical="center" wrapText="1"/>
    </xf>
    <xf numFmtId="0" fontId="18" fillId="24" borderId="19" xfId="0" applyFont="1" applyFill="1" applyBorder="1" applyAlignment="1">
      <alignment horizontal="center" vertical="center" wrapText="1"/>
    </xf>
    <xf numFmtId="0" fontId="18" fillId="24" borderId="47" xfId="0" applyFont="1" applyFill="1" applyBorder="1" applyAlignment="1">
      <alignment horizontal="center" vertical="center" wrapText="1"/>
    </xf>
    <xf numFmtId="0" fontId="0" fillId="26" borderId="26" xfId="0" applyFill="1" applyBorder="1" applyAlignment="1">
      <alignment horizontal="left" vertical="center"/>
    </xf>
    <xf numFmtId="0" fontId="0" fillId="25" borderId="0" xfId="0" applyFill="1" applyAlignment="1">
      <alignment/>
    </xf>
    <xf numFmtId="2" fontId="0" fillId="25" borderId="0" xfId="0" applyNumberFormat="1" applyFill="1" applyAlignment="1">
      <alignment/>
    </xf>
    <xf numFmtId="0" fontId="19" fillId="26" borderId="0" xfId="0" applyFont="1" applyFill="1" applyAlignment="1">
      <alignment horizontal="center"/>
    </xf>
    <xf numFmtId="0" fontId="19" fillId="25" borderId="0" xfId="0" applyFont="1" applyFill="1" applyAlignment="1">
      <alignment/>
    </xf>
    <xf numFmtId="2" fontId="19" fillId="25" borderId="0" xfId="0" applyNumberFormat="1" applyFont="1" applyFill="1" applyAlignment="1">
      <alignment/>
    </xf>
    <xf numFmtId="2" fontId="0" fillId="25" borderId="0" xfId="0" applyNumberFormat="1" applyFill="1" applyAlignment="1">
      <alignment horizontal="center" vertical="center" wrapText="1"/>
    </xf>
    <xf numFmtId="2" fontId="0" fillId="25" borderId="0" xfId="0" applyNumberFormat="1" applyFont="1" applyFill="1" applyAlignment="1">
      <alignment horizontal="center" vertical="center" wrapText="1"/>
    </xf>
    <xf numFmtId="0" fontId="18" fillId="25" borderId="11" xfId="0" applyFont="1" applyFill="1" applyBorder="1" applyAlignment="1">
      <alignment horizontal="center" vertical="center" wrapText="1"/>
    </xf>
    <xf numFmtId="0" fontId="18" fillId="25" borderId="40" xfId="0" applyFont="1" applyFill="1" applyBorder="1" applyAlignment="1">
      <alignment horizontal="center" vertical="center" textRotation="90" wrapText="1"/>
    </xf>
    <xf numFmtId="0" fontId="18" fillId="25" borderId="40" xfId="0" applyFont="1" applyFill="1" applyBorder="1" applyAlignment="1">
      <alignment horizontal="center" vertical="center" wrapText="1"/>
    </xf>
    <xf numFmtId="0" fontId="18" fillId="25" borderId="48" xfId="0" applyFont="1" applyFill="1" applyBorder="1" applyAlignment="1">
      <alignment horizontal="center" vertical="center" wrapText="1"/>
    </xf>
    <xf numFmtId="0" fontId="18" fillId="25" borderId="0" xfId="0" applyFont="1" applyFill="1" applyAlignment="1">
      <alignment horizontal="center" vertical="center" wrapText="1"/>
    </xf>
    <xf numFmtId="2" fontId="18" fillId="25" borderId="0" xfId="0" applyNumberFormat="1" applyFont="1" applyFill="1" applyAlignment="1">
      <alignment horizontal="center" vertical="center" wrapText="1"/>
    </xf>
    <xf numFmtId="0" fontId="0" fillId="25" borderId="49" xfId="0" applyFont="1" applyFill="1" applyBorder="1" applyAlignment="1">
      <alignment horizontal="center" vertical="center" wrapText="1"/>
    </xf>
    <xf numFmtId="0" fontId="0" fillId="25" borderId="50" xfId="0" applyFont="1" applyFill="1" applyBorder="1" applyAlignment="1">
      <alignment horizontal="center" vertical="center" wrapText="1"/>
    </xf>
    <xf numFmtId="0" fontId="0" fillId="25" borderId="51" xfId="0" applyFont="1" applyFill="1" applyBorder="1" applyAlignment="1">
      <alignment horizontal="center" vertical="center" wrapText="1"/>
    </xf>
    <xf numFmtId="0" fontId="0" fillId="25" borderId="52" xfId="0" applyFont="1" applyFill="1" applyBorder="1" applyAlignment="1">
      <alignment horizontal="center" vertical="center" wrapText="1"/>
    </xf>
    <xf numFmtId="0" fontId="0" fillId="25" borderId="53" xfId="0" applyFont="1" applyFill="1" applyBorder="1" applyAlignment="1">
      <alignment horizontal="center" vertical="center" wrapText="1"/>
    </xf>
    <xf numFmtId="0" fontId="0" fillId="25" borderId="54" xfId="0" applyFont="1" applyFill="1" applyBorder="1" applyAlignment="1">
      <alignment horizontal="center" vertical="center" wrapText="1"/>
    </xf>
    <xf numFmtId="0" fontId="0" fillId="25" borderId="0" xfId="0" applyFont="1" applyFill="1" applyAlignment="1">
      <alignment horizontal="center" vertical="center" wrapText="1"/>
    </xf>
    <xf numFmtId="2" fontId="0" fillId="25" borderId="0" xfId="0" applyNumberFormat="1" applyFont="1" applyFill="1" applyAlignment="1">
      <alignment horizontal="center" vertical="center" wrapText="1"/>
    </xf>
    <xf numFmtId="0" fontId="18" fillId="25" borderId="27" xfId="0" applyFont="1" applyFill="1" applyBorder="1" applyAlignment="1">
      <alignment horizontal="left" vertical="center" wrapText="1"/>
    </xf>
    <xf numFmtId="0" fontId="18" fillId="25" borderId="10" xfId="0" applyFont="1" applyFill="1" applyBorder="1" applyAlignment="1">
      <alignment horizontal="center" vertical="center" wrapText="1"/>
    </xf>
    <xf numFmtId="2" fontId="18" fillId="25" borderId="35" xfId="0" applyNumberFormat="1" applyFont="1" applyFill="1" applyBorder="1" applyAlignment="1">
      <alignment horizontal="center" vertical="center" wrapText="1"/>
    </xf>
    <xf numFmtId="2" fontId="18" fillId="25" borderId="55" xfId="0" applyNumberFormat="1" applyFont="1" applyFill="1" applyBorder="1" applyAlignment="1">
      <alignment horizontal="center" vertical="center" wrapText="1"/>
    </xf>
    <xf numFmtId="0" fontId="28" fillId="25" borderId="27" xfId="0" applyFont="1" applyFill="1" applyBorder="1" applyAlignment="1">
      <alignment horizontal="left" vertical="center" wrapText="1"/>
    </xf>
    <xf numFmtId="0" fontId="28" fillId="25" borderId="35" xfId="0" applyFont="1" applyFill="1" applyBorder="1" applyAlignment="1">
      <alignment horizontal="center" vertical="center" wrapText="1"/>
    </xf>
    <xf numFmtId="2" fontId="28" fillId="25" borderId="35" xfId="0" applyNumberFormat="1" applyFont="1" applyFill="1" applyBorder="1" applyAlignment="1">
      <alignment horizontal="center" vertical="center" wrapText="1"/>
    </xf>
    <xf numFmtId="2" fontId="28" fillId="25" borderId="13" xfId="0" applyNumberFormat="1" applyFont="1" applyFill="1" applyBorder="1" applyAlignment="1">
      <alignment horizontal="center" vertical="center" wrapText="1"/>
    </xf>
    <xf numFmtId="2" fontId="28" fillId="25" borderId="55" xfId="0" applyNumberFormat="1" applyFont="1" applyFill="1" applyBorder="1" applyAlignment="1">
      <alignment horizontal="center" vertical="center" wrapText="1"/>
    </xf>
    <xf numFmtId="0" fontId="18" fillId="25" borderId="35" xfId="0" applyFont="1" applyFill="1" applyBorder="1" applyAlignment="1">
      <alignment horizontal="center" vertical="center" wrapText="1"/>
    </xf>
    <xf numFmtId="0" fontId="0" fillId="25" borderId="12" xfId="0" applyFont="1" applyFill="1" applyBorder="1" applyAlignment="1">
      <alignment horizontal="left" vertical="center" wrapText="1"/>
    </xf>
    <xf numFmtId="0" fontId="0" fillId="25" borderId="10" xfId="0" applyFont="1" applyFill="1" applyBorder="1" applyAlignment="1">
      <alignment horizontal="center" vertical="center" wrapText="1"/>
    </xf>
    <xf numFmtId="0" fontId="0" fillId="25" borderId="12" xfId="0" applyFill="1" applyBorder="1" applyAlignment="1">
      <alignment horizontal="left" vertical="center" wrapText="1"/>
    </xf>
    <xf numFmtId="0" fontId="0" fillId="25" borderId="10" xfId="0" applyFill="1" applyBorder="1" applyAlignment="1">
      <alignment horizontal="center" vertical="center" wrapText="1"/>
    </xf>
    <xf numFmtId="0" fontId="0" fillId="25" borderId="56" xfId="0" applyFont="1" applyFill="1" applyBorder="1" applyAlignment="1">
      <alignment horizontal="left" vertical="center" wrapText="1"/>
    </xf>
    <xf numFmtId="0" fontId="0" fillId="25" borderId="36" xfId="0" applyFont="1" applyFill="1" applyBorder="1" applyAlignment="1">
      <alignment horizontal="center" vertical="center" wrapText="1"/>
    </xf>
    <xf numFmtId="0" fontId="0" fillId="25" borderId="57" xfId="0" applyFont="1" applyFill="1" applyBorder="1" applyAlignment="1">
      <alignment horizontal="left" vertical="center" wrapText="1"/>
    </xf>
    <xf numFmtId="0" fontId="0" fillId="25" borderId="58" xfId="0" applyFont="1" applyFill="1" applyBorder="1" applyAlignment="1">
      <alignment horizontal="center" vertical="center" wrapText="1"/>
    </xf>
    <xf numFmtId="2" fontId="18" fillId="25" borderId="59" xfId="0" applyNumberFormat="1" applyFont="1" applyFill="1" applyBorder="1" applyAlignment="1">
      <alignment horizontal="center" vertical="center" wrapText="1"/>
    </xf>
    <xf numFmtId="0" fontId="21" fillId="25" borderId="0" xfId="0" applyFont="1" applyFill="1" applyAlignment="1">
      <alignment horizontal="center" vertical="center" wrapText="1"/>
    </xf>
    <xf numFmtId="0" fontId="0" fillId="25" borderId="12" xfId="0" applyFont="1" applyFill="1" applyBorder="1" applyAlignment="1">
      <alignment horizontal="left" vertical="center" wrapText="1"/>
    </xf>
    <xf numFmtId="2" fontId="28" fillId="25" borderId="59" xfId="0" applyNumberFormat="1" applyFont="1" applyFill="1" applyBorder="1" applyAlignment="1">
      <alignment horizontal="center" vertical="center" wrapText="1"/>
    </xf>
    <xf numFmtId="0" fontId="29" fillId="25" borderId="10" xfId="0" applyFont="1" applyFill="1" applyBorder="1" applyAlignment="1">
      <alignment horizontal="center" vertical="center" wrapText="1"/>
    </xf>
    <xf numFmtId="0" fontId="18" fillId="25" borderId="36" xfId="0" applyFont="1" applyFill="1" applyBorder="1" applyAlignment="1">
      <alignment horizontal="center" vertical="center" wrapText="1"/>
    </xf>
    <xf numFmtId="2" fontId="18" fillId="25" borderId="36" xfId="0" applyNumberFormat="1" applyFont="1" applyFill="1" applyBorder="1" applyAlignment="1">
      <alignment horizontal="center" vertical="center" wrapText="1"/>
    </xf>
    <xf numFmtId="2" fontId="18" fillId="25" borderId="60" xfId="0" applyNumberFormat="1" applyFont="1" applyFill="1" applyBorder="1" applyAlignment="1">
      <alignment horizontal="center" vertical="center" wrapText="1"/>
    </xf>
    <xf numFmtId="0" fontId="0" fillId="25" borderId="12" xfId="0" applyFont="1" applyFill="1" applyBorder="1" applyAlignment="1">
      <alignment horizontal="left" vertical="center" wrapText="1"/>
    </xf>
    <xf numFmtId="2" fontId="0" fillId="25" borderId="10" xfId="0" applyNumberFormat="1" applyFont="1" applyFill="1" applyBorder="1" applyAlignment="1">
      <alignment horizontal="center" vertical="center" wrapText="1"/>
    </xf>
    <xf numFmtId="2" fontId="0" fillId="25" borderId="59" xfId="0" applyNumberFormat="1" applyFont="1" applyFill="1" applyBorder="1" applyAlignment="1">
      <alignment horizontal="center" vertical="center" wrapText="1"/>
    </xf>
    <xf numFmtId="2" fontId="0" fillId="25" borderId="35" xfId="0" applyNumberFormat="1" applyFont="1" applyFill="1" applyBorder="1" applyAlignment="1">
      <alignment horizontal="center" vertical="center" wrapText="1"/>
    </xf>
    <xf numFmtId="0" fontId="0" fillId="25" borderId="10" xfId="0" applyFont="1" applyFill="1" applyBorder="1" applyAlignment="1">
      <alignment horizontal="center" vertical="center" wrapText="1"/>
    </xf>
    <xf numFmtId="0" fontId="21" fillId="25" borderId="12" xfId="0" applyFont="1" applyFill="1" applyBorder="1" applyAlignment="1">
      <alignment horizontal="left" vertical="center" wrapText="1"/>
    </xf>
    <xf numFmtId="0" fontId="21" fillId="25" borderId="10" xfId="0" applyFont="1" applyFill="1" applyBorder="1" applyAlignment="1">
      <alignment horizontal="center" vertical="center" wrapText="1"/>
    </xf>
    <xf numFmtId="2" fontId="21" fillId="25" borderId="10" xfId="0" applyNumberFormat="1" applyFont="1" applyFill="1" applyBorder="1" applyAlignment="1">
      <alignment horizontal="center" vertical="center" wrapText="1"/>
    </xf>
    <xf numFmtId="2" fontId="21" fillId="25" borderId="14" xfId="0" applyNumberFormat="1" applyFont="1" applyFill="1" applyBorder="1" applyAlignment="1">
      <alignment horizontal="center" vertical="center" wrapText="1"/>
    </xf>
    <xf numFmtId="2" fontId="21" fillId="25" borderId="59" xfId="0" applyNumberFormat="1" applyFont="1" applyFill="1" applyBorder="1" applyAlignment="1">
      <alignment horizontal="center" vertical="center" wrapText="1"/>
    </xf>
    <xf numFmtId="0" fontId="30" fillId="25" borderId="0" xfId="0" applyFont="1" applyFill="1" applyAlignment="1">
      <alignment horizontal="center" vertical="center" wrapText="1"/>
    </xf>
    <xf numFmtId="0" fontId="21" fillId="25" borderId="0" xfId="0" applyFont="1" applyFill="1" applyAlignment="1">
      <alignment horizontal="center" vertical="center" wrapText="1"/>
    </xf>
    <xf numFmtId="2" fontId="0" fillId="25" borderId="10" xfId="0" applyNumberFormat="1" applyFont="1" applyFill="1" applyBorder="1" applyAlignment="1">
      <alignment horizontal="center" vertical="center" wrapText="1"/>
    </xf>
    <xf numFmtId="2" fontId="0" fillId="25" borderId="59" xfId="0" applyNumberFormat="1" applyFont="1" applyFill="1" applyBorder="1" applyAlignment="1">
      <alignment horizontal="center" vertical="center" wrapText="1"/>
    </xf>
    <xf numFmtId="0" fontId="20" fillId="25" borderId="12" xfId="0" applyFont="1" applyFill="1" applyBorder="1" applyAlignment="1">
      <alignment horizontal="left" vertical="center" wrapText="1"/>
    </xf>
    <xf numFmtId="0" fontId="20" fillId="25" borderId="10" xfId="0" applyFont="1" applyFill="1" applyBorder="1" applyAlignment="1">
      <alignment horizontal="left" vertical="center" wrapText="1"/>
    </xf>
    <xf numFmtId="0" fontId="31" fillId="25" borderId="10" xfId="0" applyFont="1" applyFill="1" applyBorder="1" applyAlignment="1">
      <alignment horizontal="left" vertical="center" wrapText="1"/>
    </xf>
    <xf numFmtId="0" fontId="28" fillId="25" borderId="10" xfId="0" applyFont="1" applyFill="1" applyBorder="1" applyAlignment="1">
      <alignment horizontal="center" vertical="center" wrapText="1"/>
    </xf>
    <xf numFmtId="2" fontId="28" fillId="25" borderId="10" xfId="0" applyNumberFormat="1" applyFont="1" applyFill="1" applyBorder="1" applyAlignment="1">
      <alignment horizontal="center" vertical="center" wrapText="1"/>
    </xf>
    <xf numFmtId="0" fontId="31" fillId="25" borderId="36" xfId="0" applyFont="1" applyFill="1" applyBorder="1" applyAlignment="1">
      <alignment horizontal="left" vertical="center" wrapText="1"/>
    </xf>
    <xf numFmtId="0" fontId="28" fillId="25" borderId="36" xfId="0" applyFont="1" applyFill="1" applyBorder="1" applyAlignment="1">
      <alignment horizontal="center" vertical="center" wrapText="1"/>
    </xf>
    <xf numFmtId="2" fontId="28" fillId="25" borderId="36" xfId="0" applyNumberFormat="1" applyFont="1" applyFill="1" applyBorder="1" applyAlignment="1">
      <alignment horizontal="center" vertical="center" wrapText="1"/>
    </xf>
    <xf numFmtId="0" fontId="18" fillId="25" borderId="11" xfId="0" applyFont="1" applyFill="1" applyBorder="1" applyAlignment="1">
      <alignment horizontal="left" vertical="center" wrapText="1"/>
    </xf>
    <xf numFmtId="2" fontId="28" fillId="25" borderId="61" xfId="0" applyNumberFormat="1" applyFont="1" applyFill="1" applyBorder="1" applyAlignment="1">
      <alignment horizontal="center" vertical="center" wrapText="1"/>
    </xf>
    <xf numFmtId="0" fontId="28" fillId="25" borderId="11" xfId="0" applyFont="1" applyFill="1" applyBorder="1" applyAlignment="1">
      <alignment horizontal="left" vertical="center" wrapText="1"/>
    </xf>
    <xf numFmtId="0" fontId="0" fillId="25" borderId="61" xfId="0" applyFont="1" applyFill="1" applyBorder="1" applyAlignment="1">
      <alignment horizontal="center" vertical="center" wrapText="1"/>
    </xf>
    <xf numFmtId="2" fontId="18" fillId="25" borderId="15" xfId="0" applyNumberFormat="1" applyFont="1" applyFill="1" applyBorder="1" applyAlignment="1">
      <alignment horizontal="center" vertical="center" wrapText="1"/>
    </xf>
    <xf numFmtId="0" fontId="20" fillId="25" borderId="11" xfId="0" applyFont="1" applyFill="1" applyBorder="1" applyAlignment="1">
      <alignment horizontal="left" vertical="center" wrapText="1"/>
    </xf>
    <xf numFmtId="0" fontId="18" fillId="25" borderId="40" xfId="0" applyFont="1" applyFill="1" applyBorder="1" applyAlignment="1">
      <alignment horizontal="center" vertical="center"/>
    </xf>
    <xf numFmtId="0" fontId="22" fillId="25" borderId="11" xfId="0" applyFont="1" applyFill="1" applyBorder="1" applyAlignment="1">
      <alignment horizontal="left" vertical="center" wrapText="1"/>
    </xf>
    <xf numFmtId="0" fontId="22" fillId="25" borderId="40" xfId="0" applyFont="1" applyFill="1" applyBorder="1" applyAlignment="1">
      <alignment horizontal="center" vertical="center" wrapText="1"/>
    </xf>
    <xf numFmtId="2" fontId="22" fillId="25" borderId="40" xfId="0" applyNumberFormat="1" applyFont="1" applyFill="1" applyBorder="1" applyAlignment="1">
      <alignment horizontal="center" vertical="center" wrapText="1"/>
    </xf>
    <xf numFmtId="2" fontId="22" fillId="25" borderId="46" xfId="0" applyNumberFormat="1" applyFont="1" applyFill="1" applyBorder="1" applyAlignment="1">
      <alignment horizontal="center"/>
    </xf>
    <xf numFmtId="0" fontId="20" fillId="25" borderId="45" xfId="0" applyFont="1" applyFill="1" applyBorder="1" applyAlignment="1">
      <alignment horizontal="left" vertical="center" wrapText="1"/>
    </xf>
    <xf numFmtId="0" fontId="18" fillId="25" borderId="46" xfId="0" applyFont="1" applyFill="1" applyBorder="1" applyAlignment="1">
      <alignment horizontal="center" vertical="center"/>
    </xf>
    <xf numFmtId="0" fontId="18" fillId="25" borderId="62" xfId="0" applyFont="1" applyFill="1" applyBorder="1" applyAlignment="1">
      <alignment horizontal="center" vertical="center"/>
    </xf>
    <xf numFmtId="0" fontId="18" fillId="25" borderId="63" xfId="0" applyFont="1" applyFill="1" applyBorder="1" applyAlignment="1">
      <alignment horizontal="center" vertical="center"/>
    </xf>
    <xf numFmtId="0" fontId="22" fillId="25" borderId="0" xfId="0" applyFont="1" applyFill="1" applyAlignment="1">
      <alignment horizontal="center" vertical="center"/>
    </xf>
    <xf numFmtId="2" fontId="22" fillId="25" borderId="0" xfId="0" applyNumberFormat="1" applyFont="1" applyFill="1" applyAlignment="1">
      <alignment horizontal="center" vertical="center"/>
    </xf>
    <xf numFmtId="0" fontId="0" fillId="25" borderId="0" xfId="0" applyFill="1" applyAlignment="1">
      <alignment horizontal="left" vertical="center"/>
    </xf>
    <xf numFmtId="0" fontId="0" fillId="25" borderId="0" xfId="0" applyFill="1" applyAlignment="1">
      <alignment horizontal="center" vertical="center"/>
    </xf>
    <xf numFmtId="2" fontId="0" fillId="25" borderId="0" xfId="0" applyNumberFormat="1" applyFill="1" applyAlignment="1">
      <alignment horizontal="center" vertical="center"/>
    </xf>
    <xf numFmtId="0" fontId="0" fillId="25" borderId="0" xfId="0" applyFont="1" applyFill="1" applyBorder="1" applyAlignment="1">
      <alignment horizontal="left" vertical="center" wrapText="1"/>
    </xf>
    <xf numFmtId="0" fontId="20" fillId="25" borderId="0" xfId="0" applyFont="1" applyFill="1" applyBorder="1" applyAlignment="1">
      <alignment/>
    </xf>
    <xf numFmtId="2" fontId="20" fillId="25" borderId="0" xfId="0" applyNumberFormat="1" applyFont="1" applyFill="1" applyBorder="1" applyAlignment="1">
      <alignment horizontal="center"/>
    </xf>
    <xf numFmtId="0" fontId="20" fillId="25" borderId="0" xfId="0" applyFont="1" applyFill="1" applyAlignment="1">
      <alignment/>
    </xf>
    <xf numFmtId="2" fontId="20" fillId="25" borderId="0" xfId="0" applyNumberFormat="1" applyFont="1" applyFill="1" applyAlignment="1">
      <alignment/>
    </xf>
    <xf numFmtId="0" fontId="22" fillId="25" borderId="40" xfId="0" applyFont="1" applyFill="1" applyBorder="1" applyAlignment="1">
      <alignment horizontal="center" vertical="center"/>
    </xf>
    <xf numFmtId="2" fontId="22" fillId="25" borderId="40" xfId="0" applyNumberFormat="1" applyFont="1" applyFill="1" applyBorder="1" applyAlignment="1">
      <alignment horizontal="center" vertical="center"/>
    </xf>
    <xf numFmtId="0" fontId="22" fillId="25" borderId="0" xfId="0" applyFont="1" applyFill="1" applyBorder="1" applyAlignment="1">
      <alignment horizontal="left" vertical="center" wrapText="1"/>
    </xf>
    <xf numFmtId="0" fontId="22" fillId="25" borderId="0" xfId="0" applyFont="1" applyFill="1" applyBorder="1" applyAlignment="1">
      <alignment horizontal="center" vertical="center"/>
    </xf>
    <xf numFmtId="2" fontId="22" fillId="25" borderId="0" xfId="0" applyNumberFormat="1" applyFont="1" applyFill="1" applyBorder="1" applyAlignment="1">
      <alignment horizontal="center" vertical="center"/>
    </xf>
    <xf numFmtId="0" fontId="22" fillId="25" borderId="0" xfId="0" applyFont="1" applyFill="1" applyBorder="1" applyAlignment="1">
      <alignment horizontal="left" vertical="center"/>
    </xf>
    <xf numFmtId="49" fontId="0" fillId="24" borderId="28" xfId="0" applyNumberFormat="1" applyFont="1" applyFill="1" applyBorder="1" applyAlignment="1">
      <alignment horizontal="center" vertical="center" wrapText="1"/>
    </xf>
    <xf numFmtId="14" fontId="0" fillId="24" borderId="36" xfId="0" applyNumberFormat="1" applyFont="1" applyFill="1" applyBorder="1" applyAlignment="1">
      <alignment horizontal="center" vertical="center" wrapText="1"/>
    </xf>
    <xf numFmtId="2" fontId="18" fillId="24" borderId="25" xfId="0" applyNumberFormat="1" applyFont="1" applyFill="1" applyBorder="1" applyAlignment="1">
      <alignment horizontal="center" vertical="center" wrapText="1"/>
    </xf>
    <xf numFmtId="14" fontId="0" fillId="24" borderId="10" xfId="0" applyNumberFormat="1" applyFont="1" applyFill="1" applyBorder="1" applyAlignment="1">
      <alignment horizontal="center" vertical="center" wrapText="1"/>
    </xf>
    <xf numFmtId="0" fontId="33" fillId="24" borderId="24" xfId="0" applyFont="1" applyFill="1" applyBorder="1" applyAlignment="1">
      <alignment horizontal="center" vertical="center" wrapText="1"/>
    </xf>
    <xf numFmtId="0" fontId="0" fillId="26" borderId="26" xfId="0" applyFill="1" applyBorder="1" applyAlignment="1">
      <alignment horizontal="center" vertical="center"/>
    </xf>
    <xf numFmtId="0" fontId="0" fillId="26" borderId="0" xfId="0" applyFill="1" applyAlignment="1">
      <alignment horizontal="center" vertical="center"/>
    </xf>
    <xf numFmtId="2" fontId="23" fillId="24" borderId="26" xfId="0" applyNumberFormat="1" applyFont="1" applyFill="1" applyBorder="1" applyAlignment="1">
      <alignment horizontal="center" vertical="center"/>
    </xf>
    <xf numFmtId="2" fontId="19" fillId="0" borderId="10" xfId="0" applyNumberFormat="1" applyFont="1" applyBorder="1" applyAlignment="1">
      <alignment horizontal="center" vertical="center"/>
    </xf>
    <xf numFmtId="0" fontId="19" fillId="0" borderId="0" xfId="0" applyFont="1" applyAlignment="1">
      <alignment/>
    </xf>
    <xf numFmtId="2" fontId="19" fillId="0" borderId="0" xfId="0" applyNumberFormat="1" applyFont="1" applyAlignment="1">
      <alignment/>
    </xf>
    <xf numFmtId="2" fontId="40" fillId="0" borderId="10" xfId="0" applyNumberFormat="1" applyFont="1" applyBorder="1" applyAlignment="1">
      <alignment horizontal="center"/>
    </xf>
    <xf numFmtId="2" fontId="19" fillId="0" borderId="10" xfId="0" applyNumberFormat="1" applyFont="1" applyBorder="1" applyAlignment="1">
      <alignment horizontal="center"/>
    </xf>
    <xf numFmtId="2" fontId="25" fillId="0" borderId="10" xfId="0" applyNumberFormat="1" applyFont="1" applyBorder="1" applyAlignment="1">
      <alignment horizontal="center"/>
    </xf>
    <xf numFmtId="49" fontId="0" fillId="24" borderId="29" xfId="0" applyNumberFormat="1" applyFont="1" applyFill="1" applyBorder="1" applyAlignment="1">
      <alignment horizontal="center" vertical="center" wrapText="1"/>
    </xf>
    <xf numFmtId="0" fontId="0" fillId="27" borderId="12" xfId="0" applyFont="1" applyFill="1" applyBorder="1" applyAlignment="1">
      <alignment horizontal="left" vertical="center" wrapText="1"/>
    </xf>
    <xf numFmtId="0" fontId="0" fillId="27" borderId="56" xfId="0" applyFont="1" applyFill="1" applyBorder="1" applyAlignment="1">
      <alignment vertical="center" wrapText="1"/>
    </xf>
    <xf numFmtId="0" fontId="0" fillId="27" borderId="27" xfId="0" applyFont="1" applyFill="1" applyBorder="1" applyAlignment="1">
      <alignment vertical="center" wrapText="1"/>
    </xf>
    <xf numFmtId="14" fontId="0" fillId="24" borderId="36" xfId="0" applyNumberFormat="1" applyFont="1" applyFill="1" applyBorder="1" applyAlignment="1">
      <alignment horizontal="center" vertical="center" wrapText="1"/>
    </xf>
    <xf numFmtId="0" fontId="18" fillId="28" borderId="12" xfId="0" applyFont="1" applyFill="1" applyBorder="1" applyAlignment="1">
      <alignment horizontal="left" vertical="center" wrapText="1"/>
    </xf>
    <xf numFmtId="0" fontId="18" fillId="28" borderId="20" xfId="0" applyFont="1" applyFill="1" applyBorder="1" applyAlignment="1">
      <alignment horizontal="center" vertical="center" wrapText="1"/>
    </xf>
    <xf numFmtId="0" fontId="18" fillId="28" borderId="10" xfId="0" applyFont="1" applyFill="1" applyBorder="1" applyAlignment="1">
      <alignment horizontal="center" vertical="center" wrapText="1"/>
    </xf>
    <xf numFmtId="2" fontId="18" fillId="28" borderId="21" xfId="0" applyNumberFormat="1" applyFont="1" applyFill="1" applyBorder="1" applyAlignment="1">
      <alignment horizontal="center" vertical="center" wrapText="1"/>
    </xf>
    <xf numFmtId="49" fontId="0" fillId="28" borderId="28" xfId="0" applyNumberFormat="1" applyFont="1" applyFill="1" applyBorder="1" applyAlignment="1">
      <alignment horizontal="center" vertical="center" wrapText="1"/>
    </xf>
    <xf numFmtId="14" fontId="0" fillId="28" borderId="36" xfId="0" applyNumberFormat="1" applyFont="1" applyFill="1" applyBorder="1" applyAlignment="1">
      <alignment horizontal="center" vertical="center" wrapText="1"/>
    </xf>
    <xf numFmtId="2" fontId="18" fillId="28" borderId="25" xfId="0" applyNumberFormat="1" applyFont="1" applyFill="1" applyBorder="1" applyAlignment="1">
      <alignment horizontal="center" vertical="center" wrapText="1"/>
    </xf>
    <xf numFmtId="0" fontId="38" fillId="28" borderId="18" xfId="0" applyFont="1" applyFill="1" applyBorder="1" applyAlignment="1">
      <alignment horizontal="center" vertical="center" wrapText="1"/>
    </xf>
    <xf numFmtId="2" fontId="18" fillId="28" borderId="13" xfId="0" applyNumberFormat="1" applyFont="1" applyFill="1" applyBorder="1" applyAlignment="1">
      <alignment horizontal="center" vertical="center" wrapText="1"/>
    </xf>
    <xf numFmtId="0" fontId="18" fillId="28" borderId="0" xfId="0" applyFont="1" applyFill="1" applyAlignment="1">
      <alignment horizontal="center" vertical="center" wrapText="1"/>
    </xf>
    <xf numFmtId="0" fontId="18" fillId="24" borderId="25" xfId="0" applyFont="1" applyFill="1" applyBorder="1" applyAlignment="1">
      <alignment horizontal="center" vertical="center" wrapText="1"/>
    </xf>
    <xf numFmtId="0" fontId="18" fillId="28" borderId="18" xfId="0" applyFont="1" applyFill="1" applyBorder="1" applyAlignment="1">
      <alignment horizontal="center" vertical="center" wrapText="1"/>
    </xf>
    <xf numFmtId="0" fontId="28" fillId="28" borderId="20" xfId="0" applyFont="1" applyFill="1" applyBorder="1" applyAlignment="1">
      <alignment horizontal="center" vertical="center" wrapText="1"/>
    </xf>
    <xf numFmtId="14" fontId="28" fillId="28" borderId="10" xfId="0" applyNumberFormat="1" applyFont="1" applyFill="1" applyBorder="1" applyAlignment="1">
      <alignment horizontal="center" vertical="center" wrapText="1"/>
    </xf>
    <xf numFmtId="0" fontId="20" fillId="25" borderId="0" xfId="0" applyFont="1" applyFill="1" applyAlignment="1">
      <alignment horizontal="center" wrapText="1"/>
    </xf>
    <xf numFmtId="0" fontId="0" fillId="25" borderId="0" xfId="0" applyFill="1" applyAlignment="1">
      <alignment/>
    </xf>
    <xf numFmtId="2" fontId="27" fillId="25" borderId="0" xfId="0" applyNumberFormat="1" applyFont="1" applyFill="1" applyAlignment="1">
      <alignment horizontal="center" vertical="center" wrapText="1"/>
    </xf>
    <xf numFmtId="0" fontId="0" fillId="25" borderId="0" xfId="0" applyFill="1" applyAlignment="1">
      <alignment horizontal="center" vertical="center" wrapText="1"/>
    </xf>
    <xf numFmtId="2" fontId="20" fillId="25" borderId="64" xfId="0" applyNumberFormat="1" applyFont="1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20" fillId="25" borderId="23" xfId="0" applyFont="1" applyFill="1" applyBorder="1" applyAlignment="1">
      <alignment horizontal="center" vertical="center" wrapText="1"/>
    </xf>
    <xf numFmtId="0" fontId="20" fillId="25" borderId="65" xfId="0" applyFont="1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25" borderId="66" xfId="0" applyFill="1" applyBorder="1" applyAlignment="1">
      <alignment horizontal="center" vertical="center" wrapText="1"/>
    </xf>
    <xf numFmtId="0" fontId="27" fillId="25" borderId="0" xfId="0" applyFont="1" applyFill="1" applyAlignment="1">
      <alignment horizontal="left" vertical="center"/>
    </xf>
    <xf numFmtId="0" fontId="18" fillId="25" borderId="0" xfId="0" applyFont="1" applyFill="1" applyAlignment="1">
      <alignment horizontal="right" vertical="center"/>
    </xf>
    <xf numFmtId="0" fontId="0" fillId="25" borderId="0" xfId="0" applyFill="1" applyAlignment="1">
      <alignment horizontal="right"/>
    </xf>
    <xf numFmtId="0" fontId="18" fillId="25" borderId="0" xfId="0" applyFont="1" applyFill="1" applyAlignment="1">
      <alignment horizontal="right"/>
    </xf>
    <xf numFmtId="0" fontId="20" fillId="25" borderId="0" xfId="0" applyFont="1" applyFill="1" applyAlignment="1">
      <alignment horizontal="center"/>
    </xf>
    <xf numFmtId="0" fontId="35" fillId="24" borderId="67" xfId="0" applyFont="1" applyFill="1" applyBorder="1" applyAlignment="1">
      <alignment horizontal="left"/>
    </xf>
    <xf numFmtId="0" fontId="35" fillId="24" borderId="0" xfId="0" applyFont="1" applyFill="1" applyAlignment="1">
      <alignment horizontal="left" wrapText="1"/>
    </xf>
    <xf numFmtId="0" fontId="35" fillId="24" borderId="67" xfId="0" applyFont="1" applyFill="1" applyBorder="1" applyAlignment="1">
      <alignment horizontal="right"/>
    </xf>
    <xf numFmtId="0" fontId="35" fillId="24" borderId="0" xfId="0" applyFont="1" applyFill="1" applyAlignment="1">
      <alignment horizontal="right"/>
    </xf>
    <xf numFmtId="0" fontId="27" fillId="0" borderId="10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65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/>
    </xf>
    <xf numFmtId="0" fontId="34" fillId="0" borderId="10" xfId="0" applyFont="1" applyBorder="1" applyAlignment="1">
      <alignment horizontal="center" vertical="center" wrapText="1"/>
    </xf>
    <xf numFmtId="0" fontId="24" fillId="25" borderId="23" xfId="0" applyFont="1" applyFill="1" applyBorder="1" applyAlignment="1">
      <alignment horizontal="center" vertical="center" wrapText="1"/>
    </xf>
    <xf numFmtId="0" fontId="24" fillId="25" borderId="65" xfId="0" applyFont="1" applyFill="1" applyBorder="1" applyAlignment="1">
      <alignment horizontal="center" vertical="center" wrapText="1"/>
    </xf>
    <xf numFmtId="0" fontId="24" fillId="25" borderId="18" xfId="0" applyFont="1" applyFill="1" applyBorder="1" applyAlignment="1">
      <alignment horizontal="center" vertical="center" wrapText="1"/>
    </xf>
    <xf numFmtId="0" fontId="22" fillId="24" borderId="68" xfId="0" applyFont="1" applyFill="1" applyBorder="1" applyAlignment="1">
      <alignment horizontal="center" vertical="center" wrapText="1"/>
    </xf>
    <xf numFmtId="0" fontId="22" fillId="24" borderId="69" xfId="0" applyFont="1" applyFill="1" applyBorder="1" applyAlignment="1">
      <alignment horizontal="center" vertical="center" wrapText="1"/>
    </xf>
    <xf numFmtId="0" fontId="22" fillId="24" borderId="39" xfId="0" applyFont="1" applyFill="1" applyBorder="1" applyAlignment="1">
      <alignment horizontal="center" vertical="center" wrapText="1"/>
    </xf>
    <xf numFmtId="0" fontId="0" fillId="0" borderId="70" xfId="0" applyFont="1" applyFill="1" applyBorder="1" applyAlignment="1">
      <alignment horizontal="left" vertical="center" wrapText="1"/>
    </xf>
    <xf numFmtId="0" fontId="0" fillId="0" borderId="71" xfId="0" applyFont="1" applyFill="1" applyBorder="1" applyAlignment="1">
      <alignment horizontal="left" vertical="center" wrapText="1"/>
    </xf>
    <xf numFmtId="0" fontId="19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 vertical="center"/>
    </xf>
    <xf numFmtId="49" fontId="0" fillId="24" borderId="28" xfId="0" applyNumberFormat="1" applyFont="1" applyFill="1" applyBorder="1" applyAlignment="1">
      <alignment horizontal="center" vertical="center" wrapText="1"/>
    </xf>
    <xf numFmtId="49" fontId="0" fillId="24" borderId="37" xfId="0" applyNumberFormat="1" applyFont="1" applyFill="1" applyBorder="1" applyAlignment="1">
      <alignment horizontal="center" vertical="center" wrapText="1"/>
    </xf>
    <xf numFmtId="14" fontId="0" fillId="24" borderId="36" xfId="0" applyNumberFormat="1" applyFont="1" applyFill="1" applyBorder="1" applyAlignment="1">
      <alignment horizontal="center" vertical="center" wrapText="1"/>
    </xf>
    <xf numFmtId="14" fontId="0" fillId="24" borderId="35" xfId="0" applyNumberFormat="1" applyFont="1" applyFill="1" applyBorder="1" applyAlignment="1">
      <alignment horizontal="center" vertical="center" wrapText="1"/>
    </xf>
    <xf numFmtId="2" fontId="18" fillId="24" borderId="25" xfId="0" applyNumberFormat="1" applyFont="1" applyFill="1" applyBorder="1" applyAlignment="1">
      <alignment horizontal="center" vertical="center" wrapText="1"/>
    </xf>
    <xf numFmtId="2" fontId="18" fillId="24" borderId="38" xfId="0" applyNumberFormat="1" applyFont="1" applyFill="1" applyBorder="1" applyAlignment="1">
      <alignment horizontal="center" vertical="center" wrapText="1"/>
    </xf>
    <xf numFmtId="0" fontId="26" fillId="24" borderId="0" xfId="0" applyFont="1" applyFill="1" applyBorder="1" applyAlignment="1">
      <alignment horizontal="center" vertical="center"/>
    </xf>
    <xf numFmtId="0" fontId="22" fillId="24" borderId="72" xfId="0" applyFont="1" applyFill="1" applyBorder="1" applyAlignment="1">
      <alignment horizontal="center" vertical="center" wrapText="1"/>
    </xf>
    <xf numFmtId="0" fontId="22" fillId="24" borderId="0" xfId="0" applyFont="1" applyFill="1" applyBorder="1" applyAlignment="1">
      <alignment horizontal="center" vertical="center" wrapText="1"/>
    </xf>
    <xf numFmtId="0" fontId="22" fillId="24" borderId="31" xfId="0" applyFont="1" applyFill="1" applyBorder="1" applyAlignment="1">
      <alignment horizontal="center" vertical="center" wrapText="1"/>
    </xf>
    <xf numFmtId="0" fontId="32" fillId="24" borderId="73" xfId="0" applyFont="1" applyFill="1" applyBorder="1" applyAlignment="1">
      <alignment horizontal="center" vertical="center" wrapText="1"/>
    </xf>
    <xf numFmtId="0" fontId="32" fillId="24" borderId="65" xfId="0" applyFont="1" applyFill="1" applyBorder="1" applyAlignment="1">
      <alignment horizontal="center" vertical="center" wrapText="1"/>
    </xf>
    <xf numFmtId="0" fontId="32" fillId="24" borderId="74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1"/>
  <sheetViews>
    <sheetView zoomScale="75" zoomScaleNormal="75" zoomScalePageLayoutView="0" workbookViewId="0" topLeftCell="A61">
      <selection activeCell="A36" sqref="A36:A37"/>
    </sheetView>
  </sheetViews>
  <sheetFormatPr defaultColWidth="9.00390625" defaultRowHeight="12.75"/>
  <cols>
    <col min="1" max="1" width="72.75390625" style="100" customWidth="1"/>
    <col min="2" max="2" width="19.125" style="100" customWidth="1"/>
    <col min="3" max="3" width="13.875" style="100" hidden="1" customWidth="1"/>
    <col min="4" max="4" width="18.125" style="100" customWidth="1"/>
    <col min="5" max="5" width="13.875" style="100" hidden="1" customWidth="1"/>
    <col min="6" max="6" width="20.875" style="100" hidden="1" customWidth="1"/>
    <col min="7" max="7" width="15.75390625" style="100" customWidth="1"/>
    <col min="8" max="8" width="20.875" style="100" customWidth="1"/>
    <col min="9" max="9" width="15.375" style="100" customWidth="1"/>
    <col min="10" max="10" width="15.375" style="100" hidden="1" customWidth="1"/>
    <col min="11" max="11" width="15.375" style="101" hidden="1" customWidth="1"/>
    <col min="12" max="14" width="15.375" style="100" customWidth="1"/>
    <col min="15" max="16384" width="9.125" style="100" customWidth="1"/>
  </cols>
  <sheetData>
    <row r="1" spans="1:8" ht="16.5" customHeight="1">
      <c r="A1" s="244" t="s">
        <v>63</v>
      </c>
      <c r="B1" s="245"/>
      <c r="C1" s="245"/>
      <c r="D1" s="245"/>
      <c r="E1" s="245"/>
      <c r="F1" s="245"/>
      <c r="G1" s="245"/>
      <c r="H1" s="245"/>
    </row>
    <row r="2" spans="2:8" ht="12.75" customHeight="1">
      <c r="B2" s="246" t="s">
        <v>64</v>
      </c>
      <c r="C2" s="246"/>
      <c r="D2" s="246"/>
      <c r="E2" s="246"/>
      <c r="F2" s="246"/>
      <c r="G2" s="245"/>
      <c r="H2" s="245"/>
    </row>
    <row r="3" spans="1:8" ht="21" customHeight="1">
      <c r="A3" s="102" t="s">
        <v>65</v>
      </c>
      <c r="B3" s="246" t="s">
        <v>66</v>
      </c>
      <c r="C3" s="246"/>
      <c r="D3" s="246"/>
      <c r="E3" s="246"/>
      <c r="F3" s="246"/>
      <c r="G3" s="245"/>
      <c r="H3" s="245"/>
    </row>
    <row r="4" spans="2:8" ht="14.25" customHeight="1">
      <c r="B4" s="246" t="s">
        <v>67</v>
      </c>
      <c r="C4" s="246"/>
      <c r="D4" s="246"/>
      <c r="E4" s="246"/>
      <c r="F4" s="246"/>
      <c r="G4" s="245"/>
      <c r="H4" s="245"/>
    </row>
    <row r="5" spans="1:8" ht="14.25" customHeight="1">
      <c r="A5" s="247"/>
      <c r="B5" s="247"/>
      <c r="C5" s="247"/>
      <c r="D5" s="247"/>
      <c r="E5" s="247"/>
      <c r="F5" s="247"/>
      <c r="G5" s="247"/>
      <c r="H5" s="247"/>
    </row>
    <row r="6" spans="1:11" s="103" customFormat="1" ht="22.5" customHeight="1">
      <c r="A6" s="233" t="s">
        <v>68</v>
      </c>
      <c r="B6" s="233"/>
      <c r="C6" s="233"/>
      <c r="D6" s="233"/>
      <c r="E6" s="234"/>
      <c r="F6" s="234"/>
      <c r="G6" s="234"/>
      <c r="H6" s="234"/>
      <c r="K6" s="104"/>
    </row>
    <row r="7" spans="1:8" s="105" customFormat="1" ht="18.75" customHeight="1">
      <c r="A7" s="233" t="s">
        <v>69</v>
      </c>
      <c r="B7" s="233"/>
      <c r="C7" s="233"/>
      <c r="D7" s="233"/>
      <c r="E7" s="234"/>
      <c r="F7" s="234"/>
      <c r="G7" s="234"/>
      <c r="H7" s="234"/>
    </row>
    <row r="8" spans="1:8" s="106" customFormat="1" ht="17.25" customHeight="1">
      <c r="A8" s="235" t="s">
        <v>70</v>
      </c>
      <c r="B8" s="235"/>
      <c r="C8" s="235"/>
      <c r="D8" s="235"/>
      <c r="E8" s="236"/>
      <c r="F8" s="236"/>
      <c r="G8" s="236"/>
      <c r="H8" s="236"/>
    </row>
    <row r="9" spans="1:8" s="105" customFormat="1" ht="30" customHeight="1" thickBot="1">
      <c r="A9" s="237" t="s">
        <v>71</v>
      </c>
      <c r="B9" s="237"/>
      <c r="C9" s="237"/>
      <c r="D9" s="237"/>
      <c r="E9" s="238"/>
      <c r="F9" s="238"/>
      <c r="G9" s="238"/>
      <c r="H9" s="238"/>
    </row>
    <row r="10" spans="1:11" s="111" customFormat="1" ht="139.5" customHeight="1" thickBot="1">
      <c r="A10" s="107" t="s">
        <v>0</v>
      </c>
      <c r="B10" s="108" t="s">
        <v>72</v>
      </c>
      <c r="C10" s="109" t="s">
        <v>73</v>
      </c>
      <c r="D10" s="109" t="s">
        <v>5</v>
      </c>
      <c r="E10" s="109" t="s">
        <v>73</v>
      </c>
      <c r="F10" s="110" t="s">
        <v>74</v>
      </c>
      <c r="G10" s="109" t="s">
        <v>73</v>
      </c>
      <c r="H10" s="110" t="s">
        <v>74</v>
      </c>
      <c r="K10" s="112"/>
    </row>
    <row r="11" spans="1:11" s="119" customFormat="1" ht="12.75">
      <c r="A11" s="113">
        <v>1</v>
      </c>
      <c r="B11" s="114">
        <v>2</v>
      </c>
      <c r="C11" s="114">
        <v>3</v>
      </c>
      <c r="D11" s="115"/>
      <c r="E11" s="114">
        <v>3</v>
      </c>
      <c r="F11" s="116">
        <v>4</v>
      </c>
      <c r="G11" s="117">
        <v>3</v>
      </c>
      <c r="H11" s="118">
        <v>4</v>
      </c>
      <c r="K11" s="120"/>
    </row>
    <row r="12" spans="1:11" s="119" customFormat="1" ht="49.5" customHeight="1">
      <c r="A12" s="239" t="s">
        <v>1</v>
      </c>
      <c r="B12" s="240"/>
      <c r="C12" s="240"/>
      <c r="D12" s="240"/>
      <c r="E12" s="240"/>
      <c r="F12" s="240"/>
      <c r="G12" s="241"/>
      <c r="H12" s="242"/>
      <c r="K12" s="120"/>
    </row>
    <row r="13" spans="1:12" s="111" customFormat="1" ht="15">
      <c r="A13" s="121" t="s">
        <v>30</v>
      </c>
      <c r="B13" s="122" t="s">
        <v>75</v>
      </c>
      <c r="C13" s="123">
        <f>F13*12</f>
        <v>0</v>
      </c>
      <c r="D13" s="15">
        <f>G13*I13</f>
        <v>73851.84</v>
      </c>
      <c r="E13" s="123">
        <f>H13*12</f>
        <v>28.8</v>
      </c>
      <c r="F13" s="124"/>
      <c r="G13" s="123">
        <v>28.8</v>
      </c>
      <c r="H13" s="123">
        <f>G13/12</f>
        <v>2.4</v>
      </c>
      <c r="I13" s="111">
        <v>2564.3</v>
      </c>
      <c r="J13" s="111">
        <v>1.07</v>
      </c>
      <c r="K13" s="112">
        <v>2.24</v>
      </c>
      <c r="L13" s="111">
        <v>3045.4</v>
      </c>
    </row>
    <row r="14" spans="1:11" s="111" customFormat="1" ht="29.25" customHeight="1">
      <c r="A14" s="125" t="s">
        <v>76</v>
      </c>
      <c r="B14" s="126" t="s">
        <v>77</v>
      </c>
      <c r="C14" s="127"/>
      <c r="D14" s="128"/>
      <c r="E14" s="127"/>
      <c r="F14" s="129"/>
      <c r="G14" s="127"/>
      <c r="H14" s="127"/>
      <c r="K14" s="112"/>
    </row>
    <row r="15" spans="1:11" s="111" customFormat="1" ht="15">
      <c r="A15" s="125" t="s">
        <v>78</v>
      </c>
      <c r="B15" s="126" t="s">
        <v>77</v>
      </c>
      <c r="C15" s="127"/>
      <c r="D15" s="128"/>
      <c r="E15" s="127"/>
      <c r="F15" s="129"/>
      <c r="G15" s="127"/>
      <c r="H15" s="127"/>
      <c r="K15" s="112"/>
    </row>
    <row r="16" spans="1:11" s="111" customFormat="1" ht="15">
      <c r="A16" s="125" t="s">
        <v>79</v>
      </c>
      <c r="B16" s="126" t="s">
        <v>80</v>
      </c>
      <c r="C16" s="127"/>
      <c r="D16" s="128"/>
      <c r="E16" s="127"/>
      <c r="F16" s="129"/>
      <c r="G16" s="127"/>
      <c r="H16" s="127"/>
      <c r="K16" s="112"/>
    </row>
    <row r="17" spans="1:11" s="111" customFormat="1" ht="15">
      <c r="A17" s="125" t="s">
        <v>81</v>
      </c>
      <c r="B17" s="126" t="s">
        <v>77</v>
      </c>
      <c r="C17" s="127"/>
      <c r="D17" s="128"/>
      <c r="E17" s="127"/>
      <c r="F17" s="129"/>
      <c r="G17" s="127"/>
      <c r="H17" s="127"/>
      <c r="K17" s="112"/>
    </row>
    <row r="18" spans="1:11" s="111" customFormat="1" ht="30">
      <c r="A18" s="121" t="s">
        <v>31</v>
      </c>
      <c r="B18" s="130"/>
      <c r="C18" s="123">
        <f>F18*12</f>
        <v>0</v>
      </c>
      <c r="D18" s="15">
        <f>G18*I18</f>
        <v>42157.09</v>
      </c>
      <c r="E18" s="123">
        <f>H18*12</f>
        <v>16.44</v>
      </c>
      <c r="F18" s="124"/>
      <c r="G18" s="123">
        <v>16.44</v>
      </c>
      <c r="H18" s="123">
        <f>G18/12</f>
        <v>1.37</v>
      </c>
      <c r="I18" s="111">
        <v>2564.3</v>
      </c>
      <c r="J18" s="111">
        <v>1.07</v>
      </c>
      <c r="K18" s="112">
        <v>1.27</v>
      </c>
    </row>
    <row r="19" spans="1:11" s="111" customFormat="1" ht="15">
      <c r="A19" s="131" t="s">
        <v>82</v>
      </c>
      <c r="B19" s="132" t="s">
        <v>83</v>
      </c>
      <c r="C19" s="123"/>
      <c r="D19" s="15"/>
      <c r="E19" s="123"/>
      <c r="F19" s="124"/>
      <c r="G19" s="123"/>
      <c r="H19" s="123"/>
      <c r="K19" s="112"/>
    </row>
    <row r="20" spans="1:11" s="111" customFormat="1" ht="15">
      <c r="A20" s="131" t="s">
        <v>84</v>
      </c>
      <c r="B20" s="132" t="s">
        <v>83</v>
      </c>
      <c r="C20" s="123"/>
      <c r="D20" s="15"/>
      <c r="E20" s="123"/>
      <c r="F20" s="124"/>
      <c r="G20" s="123"/>
      <c r="H20" s="123"/>
      <c r="K20" s="112"/>
    </row>
    <row r="21" spans="1:11" s="111" customFormat="1" ht="15">
      <c r="A21" s="133" t="s">
        <v>85</v>
      </c>
      <c r="B21" s="134" t="s">
        <v>86</v>
      </c>
      <c r="C21" s="123"/>
      <c r="D21" s="15"/>
      <c r="E21" s="123"/>
      <c r="F21" s="124"/>
      <c r="G21" s="123"/>
      <c r="H21" s="123"/>
      <c r="K21" s="112"/>
    </row>
    <row r="22" spans="1:11" s="111" customFormat="1" ht="15">
      <c r="A22" s="131" t="s">
        <v>87</v>
      </c>
      <c r="B22" s="132" t="s">
        <v>83</v>
      </c>
      <c r="C22" s="123"/>
      <c r="D22" s="15"/>
      <c r="E22" s="123"/>
      <c r="F22" s="124"/>
      <c r="G22" s="123"/>
      <c r="H22" s="123"/>
      <c r="K22" s="112"/>
    </row>
    <row r="23" spans="1:11" s="111" customFormat="1" ht="25.5">
      <c r="A23" s="131" t="s">
        <v>88</v>
      </c>
      <c r="B23" s="132" t="s">
        <v>89</v>
      </c>
      <c r="C23" s="123"/>
      <c r="D23" s="15"/>
      <c r="E23" s="123"/>
      <c r="F23" s="124"/>
      <c r="G23" s="123"/>
      <c r="H23" s="123"/>
      <c r="K23" s="112"/>
    </row>
    <row r="24" spans="1:11" s="111" customFormat="1" ht="15">
      <c r="A24" s="131" t="s">
        <v>90</v>
      </c>
      <c r="B24" s="132" t="s">
        <v>83</v>
      </c>
      <c r="C24" s="123"/>
      <c r="D24" s="15"/>
      <c r="E24" s="123"/>
      <c r="F24" s="124"/>
      <c r="G24" s="123"/>
      <c r="H24" s="123"/>
      <c r="K24" s="112"/>
    </row>
    <row r="25" spans="1:11" s="111" customFormat="1" ht="15">
      <c r="A25" s="135" t="s">
        <v>91</v>
      </c>
      <c r="B25" s="136" t="s">
        <v>83</v>
      </c>
      <c r="C25" s="123"/>
      <c r="D25" s="15"/>
      <c r="E25" s="123"/>
      <c r="F25" s="124"/>
      <c r="G25" s="123"/>
      <c r="H25" s="123"/>
      <c r="K25" s="112"/>
    </row>
    <row r="26" spans="1:11" s="111" customFormat="1" ht="26.25" thickBot="1">
      <c r="A26" s="137" t="s">
        <v>92</v>
      </c>
      <c r="B26" s="138" t="s">
        <v>93</v>
      </c>
      <c r="C26" s="123"/>
      <c r="D26" s="15"/>
      <c r="E26" s="123"/>
      <c r="F26" s="124"/>
      <c r="G26" s="123"/>
      <c r="H26" s="123"/>
      <c r="K26" s="112"/>
    </row>
    <row r="27" spans="1:12" s="140" customFormat="1" ht="21" customHeight="1">
      <c r="A27" s="59" t="s">
        <v>32</v>
      </c>
      <c r="B27" s="122" t="s">
        <v>94</v>
      </c>
      <c r="C27" s="123">
        <f>F27*12</f>
        <v>0</v>
      </c>
      <c r="D27" s="15">
        <f>G27*I27</f>
        <v>19693.82</v>
      </c>
      <c r="E27" s="123">
        <f>H27*12</f>
        <v>7.68</v>
      </c>
      <c r="F27" s="139"/>
      <c r="G27" s="123">
        <v>7.68</v>
      </c>
      <c r="H27" s="123">
        <f>G27/12</f>
        <v>0.64</v>
      </c>
      <c r="I27" s="111">
        <v>2564.3</v>
      </c>
      <c r="J27" s="111">
        <v>1.07</v>
      </c>
      <c r="K27" s="112">
        <v>0.6</v>
      </c>
      <c r="L27" s="140">
        <v>3045.4</v>
      </c>
    </row>
    <row r="28" spans="1:12" s="111" customFormat="1" ht="15">
      <c r="A28" s="59" t="s">
        <v>33</v>
      </c>
      <c r="B28" s="122" t="s">
        <v>95</v>
      </c>
      <c r="C28" s="123">
        <f>F28*12</f>
        <v>0</v>
      </c>
      <c r="D28" s="15">
        <f>G28*I28</f>
        <v>64004.93</v>
      </c>
      <c r="E28" s="123">
        <f>H28*12</f>
        <v>24.96</v>
      </c>
      <c r="F28" s="139"/>
      <c r="G28" s="123">
        <v>24.96</v>
      </c>
      <c r="H28" s="123">
        <f>G28/12</f>
        <v>2.08</v>
      </c>
      <c r="I28" s="111">
        <v>2564.3</v>
      </c>
      <c r="J28" s="111">
        <v>1.07</v>
      </c>
      <c r="K28" s="112">
        <v>1.94</v>
      </c>
      <c r="L28" s="140">
        <v>3045.4</v>
      </c>
    </row>
    <row r="29" spans="1:11" s="111" customFormat="1" ht="15">
      <c r="A29" s="59" t="s">
        <v>56</v>
      </c>
      <c r="B29" s="122" t="s">
        <v>83</v>
      </c>
      <c r="C29" s="123">
        <f>F29*12</f>
        <v>0</v>
      </c>
      <c r="D29" s="15">
        <f>G29*I29</f>
        <v>39695.36</v>
      </c>
      <c r="E29" s="123">
        <f>H29*12</f>
        <v>15.48</v>
      </c>
      <c r="F29" s="139"/>
      <c r="G29" s="123">
        <f>H29*12</f>
        <v>15.48</v>
      </c>
      <c r="H29" s="123">
        <v>1.29</v>
      </c>
      <c r="I29" s="111">
        <v>2564.3</v>
      </c>
      <c r="J29" s="111">
        <v>1.07</v>
      </c>
      <c r="K29" s="112">
        <v>1.21</v>
      </c>
    </row>
    <row r="30" spans="1:11" s="111" customFormat="1" ht="15" hidden="1">
      <c r="A30" s="131" t="s">
        <v>96</v>
      </c>
      <c r="B30" s="132" t="s">
        <v>97</v>
      </c>
      <c r="C30" s="123"/>
      <c r="D30" s="15"/>
      <c r="E30" s="123"/>
      <c r="F30" s="139"/>
      <c r="G30" s="123">
        <f>D30/I30</f>
        <v>0</v>
      </c>
      <c r="H30" s="123">
        <f aca="true" t="shared" si="0" ref="H30:H54">G30/12</f>
        <v>0</v>
      </c>
      <c r="I30" s="111">
        <v>2564.3</v>
      </c>
      <c r="J30" s="111">
        <v>1.07</v>
      </c>
      <c r="K30" s="112">
        <v>0</v>
      </c>
    </row>
    <row r="31" spans="1:11" s="111" customFormat="1" ht="15" hidden="1">
      <c r="A31" s="131" t="s">
        <v>98</v>
      </c>
      <c r="B31" s="132" t="s">
        <v>99</v>
      </c>
      <c r="C31" s="123"/>
      <c r="D31" s="15"/>
      <c r="E31" s="123"/>
      <c r="F31" s="139"/>
      <c r="G31" s="123">
        <f>D31/I31</f>
        <v>0</v>
      </c>
      <c r="H31" s="123">
        <f t="shared" si="0"/>
        <v>0</v>
      </c>
      <c r="I31" s="111">
        <v>2564.3</v>
      </c>
      <c r="J31" s="111">
        <v>1.07</v>
      </c>
      <c r="K31" s="112">
        <v>0</v>
      </c>
    </row>
    <row r="32" spans="1:11" s="111" customFormat="1" ht="15" hidden="1">
      <c r="A32" s="131" t="s">
        <v>100</v>
      </c>
      <c r="B32" s="132" t="s">
        <v>99</v>
      </c>
      <c r="C32" s="123"/>
      <c r="D32" s="15"/>
      <c r="E32" s="123"/>
      <c r="F32" s="139"/>
      <c r="G32" s="123">
        <f>D32/I32</f>
        <v>0</v>
      </c>
      <c r="H32" s="123">
        <f t="shared" si="0"/>
        <v>0</v>
      </c>
      <c r="I32" s="111">
        <v>2564.3</v>
      </c>
      <c r="J32" s="111">
        <v>1.07</v>
      </c>
      <c r="K32" s="112">
        <v>0</v>
      </c>
    </row>
    <row r="33" spans="1:11" s="111" customFormat="1" ht="15" hidden="1">
      <c r="A33" s="131" t="s">
        <v>101</v>
      </c>
      <c r="B33" s="132" t="s">
        <v>102</v>
      </c>
      <c r="C33" s="123"/>
      <c r="D33" s="15"/>
      <c r="E33" s="123"/>
      <c r="F33" s="139"/>
      <c r="G33" s="123">
        <f>D33/I33</f>
        <v>0</v>
      </c>
      <c r="H33" s="123">
        <f t="shared" si="0"/>
        <v>0</v>
      </c>
      <c r="I33" s="111">
        <v>2564.3</v>
      </c>
      <c r="J33" s="111">
        <v>1.07</v>
      </c>
      <c r="K33" s="112">
        <v>0</v>
      </c>
    </row>
    <row r="34" spans="1:11" s="111" customFormat="1" ht="25.5" hidden="1">
      <c r="A34" s="131" t="s">
        <v>103</v>
      </c>
      <c r="B34" s="132" t="s">
        <v>89</v>
      </c>
      <c r="C34" s="123"/>
      <c r="D34" s="15"/>
      <c r="E34" s="123"/>
      <c r="F34" s="139"/>
      <c r="G34" s="123">
        <f>D34/I34</f>
        <v>0</v>
      </c>
      <c r="H34" s="123">
        <f t="shared" si="0"/>
        <v>0</v>
      </c>
      <c r="I34" s="111">
        <v>2564.3</v>
      </c>
      <c r="J34" s="111">
        <v>1.07</v>
      </c>
      <c r="K34" s="112">
        <v>0</v>
      </c>
    </row>
    <row r="35" spans="1:11" s="111" customFormat="1" ht="45">
      <c r="A35" s="59" t="s">
        <v>104</v>
      </c>
      <c r="B35" s="122" t="s">
        <v>89</v>
      </c>
      <c r="C35" s="123"/>
      <c r="D35" s="15">
        <f>G35*I35</f>
        <v>3692.59</v>
      </c>
      <c r="E35" s="123"/>
      <c r="F35" s="139"/>
      <c r="G35" s="123">
        <f>12*H35</f>
        <v>1.44</v>
      </c>
      <c r="H35" s="123">
        <v>0.12</v>
      </c>
      <c r="I35" s="111">
        <v>2564.3</v>
      </c>
      <c r="K35" s="112"/>
    </row>
    <row r="36" spans="1:11" s="111" customFormat="1" ht="15">
      <c r="A36" s="141" t="s">
        <v>105</v>
      </c>
      <c r="B36" s="132"/>
      <c r="C36" s="123"/>
      <c r="D36" s="128"/>
      <c r="E36" s="127"/>
      <c r="F36" s="142"/>
      <c r="G36" s="127"/>
      <c r="H36" s="127"/>
      <c r="I36" s="111">
        <v>2564.3</v>
      </c>
      <c r="K36" s="112"/>
    </row>
    <row r="37" spans="1:11" s="111" customFormat="1" ht="15">
      <c r="A37" s="141" t="s">
        <v>106</v>
      </c>
      <c r="B37" s="132"/>
      <c r="C37" s="123"/>
      <c r="D37" s="128"/>
      <c r="E37" s="127"/>
      <c r="F37" s="142"/>
      <c r="G37" s="127"/>
      <c r="H37" s="127"/>
      <c r="K37" s="112"/>
    </row>
    <row r="38" spans="1:11" s="111" customFormat="1" ht="45">
      <c r="A38" s="59" t="s">
        <v>107</v>
      </c>
      <c r="B38" s="122" t="s">
        <v>108</v>
      </c>
      <c r="C38" s="123"/>
      <c r="D38" s="15">
        <v>18916.67</v>
      </c>
      <c r="E38" s="123"/>
      <c r="F38" s="139"/>
      <c r="G38" s="123">
        <f>D38/I38</f>
        <v>7.38</v>
      </c>
      <c r="H38" s="123">
        <f>G38/12</f>
        <v>0.62</v>
      </c>
      <c r="I38" s="111">
        <v>2564.3</v>
      </c>
      <c r="K38" s="112"/>
    </row>
    <row r="39" spans="1:11" s="111" customFormat="1" ht="15">
      <c r="A39" s="59" t="s">
        <v>109</v>
      </c>
      <c r="B39" s="122"/>
      <c r="C39" s="123">
        <f>F39*12</f>
        <v>0</v>
      </c>
      <c r="D39" s="15">
        <v>46157.4</v>
      </c>
      <c r="E39" s="123">
        <f>H39*12</f>
        <v>18</v>
      </c>
      <c r="F39" s="139"/>
      <c r="G39" s="123">
        <v>18</v>
      </c>
      <c r="H39" s="123">
        <f t="shared" si="0"/>
        <v>1.5</v>
      </c>
      <c r="I39" s="111">
        <v>2564.3</v>
      </c>
      <c r="J39" s="111">
        <v>1.07</v>
      </c>
      <c r="K39" s="112">
        <v>1.4</v>
      </c>
    </row>
    <row r="40" spans="1:11" s="111" customFormat="1" ht="15" hidden="1">
      <c r="A40" s="131" t="s">
        <v>110</v>
      </c>
      <c r="B40" s="132" t="s">
        <v>99</v>
      </c>
      <c r="C40" s="123"/>
      <c r="D40" s="15"/>
      <c r="E40" s="123"/>
      <c r="F40" s="139"/>
      <c r="G40" s="123"/>
      <c r="H40" s="123">
        <f t="shared" si="0"/>
        <v>0</v>
      </c>
      <c r="J40" s="111">
        <v>1.07</v>
      </c>
      <c r="K40" s="112">
        <v>0</v>
      </c>
    </row>
    <row r="41" spans="1:11" s="111" customFormat="1" ht="15" hidden="1">
      <c r="A41" s="131" t="s">
        <v>111</v>
      </c>
      <c r="B41" s="132" t="s">
        <v>102</v>
      </c>
      <c r="C41" s="123"/>
      <c r="D41" s="15"/>
      <c r="E41" s="123"/>
      <c r="F41" s="139"/>
      <c r="G41" s="123"/>
      <c r="H41" s="123">
        <f t="shared" si="0"/>
        <v>0</v>
      </c>
      <c r="J41" s="111">
        <v>1.07</v>
      </c>
      <c r="K41" s="112">
        <v>0</v>
      </c>
    </row>
    <row r="42" spans="1:11" s="111" customFormat="1" ht="25.5" hidden="1">
      <c r="A42" s="131" t="s">
        <v>112</v>
      </c>
      <c r="B42" s="132" t="s">
        <v>113</v>
      </c>
      <c r="C42" s="123"/>
      <c r="D42" s="15"/>
      <c r="E42" s="123"/>
      <c r="F42" s="139"/>
      <c r="G42" s="123"/>
      <c r="H42" s="123">
        <f t="shared" si="0"/>
        <v>0</v>
      </c>
      <c r="J42" s="111">
        <v>1.07</v>
      </c>
      <c r="K42" s="112">
        <v>0</v>
      </c>
    </row>
    <row r="43" spans="1:11" s="111" customFormat="1" ht="15" hidden="1">
      <c r="A43" s="131" t="s">
        <v>114</v>
      </c>
      <c r="B43" s="132" t="s">
        <v>115</v>
      </c>
      <c r="C43" s="123"/>
      <c r="D43" s="15"/>
      <c r="E43" s="123"/>
      <c r="F43" s="139"/>
      <c r="G43" s="123"/>
      <c r="H43" s="123">
        <f t="shared" si="0"/>
        <v>0</v>
      </c>
      <c r="J43" s="111">
        <v>1.07</v>
      </c>
      <c r="K43" s="112">
        <v>0</v>
      </c>
    </row>
    <row r="44" spans="1:11" s="111" customFormat="1" ht="15" hidden="1">
      <c r="A44" s="131" t="s">
        <v>116</v>
      </c>
      <c r="B44" s="132" t="s">
        <v>102</v>
      </c>
      <c r="C44" s="123"/>
      <c r="D44" s="15"/>
      <c r="E44" s="123"/>
      <c r="F44" s="139"/>
      <c r="G44" s="123"/>
      <c r="H44" s="123">
        <f t="shared" si="0"/>
        <v>0</v>
      </c>
      <c r="J44" s="111">
        <v>1.07</v>
      </c>
      <c r="K44" s="112">
        <v>0</v>
      </c>
    </row>
    <row r="45" spans="1:11" s="111" customFormat="1" ht="28.5">
      <c r="A45" s="59" t="s">
        <v>117</v>
      </c>
      <c r="B45" s="143" t="s">
        <v>118</v>
      </c>
      <c r="C45" s="123">
        <f>F45*12</f>
        <v>0</v>
      </c>
      <c r="D45" s="15">
        <v>98469.12</v>
      </c>
      <c r="E45" s="123">
        <f>H45*12</f>
        <v>38.4</v>
      </c>
      <c r="F45" s="139"/>
      <c r="G45" s="123">
        <v>38.4</v>
      </c>
      <c r="H45" s="123">
        <f t="shared" si="0"/>
        <v>3.2</v>
      </c>
      <c r="I45" s="111">
        <v>2564.3</v>
      </c>
      <c r="J45" s="111">
        <v>1.07</v>
      </c>
      <c r="K45" s="112">
        <v>2.99</v>
      </c>
    </row>
    <row r="46" spans="1:12" s="119" customFormat="1" ht="30">
      <c r="A46" s="59" t="s">
        <v>34</v>
      </c>
      <c r="B46" s="122" t="s">
        <v>75</v>
      </c>
      <c r="C46" s="94"/>
      <c r="D46" s="15">
        <f>1733.72*I46/L46</f>
        <v>1459.83</v>
      </c>
      <c r="E46" s="94"/>
      <c r="F46" s="139"/>
      <c r="G46" s="123">
        <f aca="true" t="shared" si="1" ref="G46:G54">D46/I46</f>
        <v>0.57</v>
      </c>
      <c r="H46" s="123">
        <f t="shared" si="0"/>
        <v>0.05</v>
      </c>
      <c r="I46" s="111">
        <v>2564.3</v>
      </c>
      <c r="J46" s="111">
        <v>1.07</v>
      </c>
      <c r="K46" s="112">
        <v>0.04</v>
      </c>
      <c r="L46" s="119">
        <v>3045.4</v>
      </c>
    </row>
    <row r="47" spans="1:12" s="119" customFormat="1" ht="30.75" customHeight="1">
      <c r="A47" s="59" t="s">
        <v>35</v>
      </c>
      <c r="B47" s="122" t="s">
        <v>75</v>
      </c>
      <c r="C47" s="94"/>
      <c r="D47" s="15">
        <f>1733.72*I47/L47</f>
        <v>1459.83</v>
      </c>
      <c r="E47" s="94"/>
      <c r="F47" s="139"/>
      <c r="G47" s="123">
        <f t="shared" si="1"/>
        <v>0.57</v>
      </c>
      <c r="H47" s="123">
        <f t="shared" si="0"/>
        <v>0.05</v>
      </c>
      <c r="I47" s="111">
        <v>2564.3</v>
      </c>
      <c r="J47" s="111">
        <v>1.07</v>
      </c>
      <c r="K47" s="112">
        <v>0.04</v>
      </c>
      <c r="L47" s="119">
        <v>3045.4</v>
      </c>
    </row>
    <row r="48" spans="1:12" s="119" customFormat="1" ht="18.75" customHeight="1">
      <c r="A48" s="59" t="s">
        <v>119</v>
      </c>
      <c r="B48" s="122" t="s">
        <v>75</v>
      </c>
      <c r="C48" s="94"/>
      <c r="D48" s="15">
        <f>10948.1*I48/L48</f>
        <v>9218.56</v>
      </c>
      <c r="E48" s="94"/>
      <c r="F48" s="139"/>
      <c r="G48" s="123">
        <f t="shared" si="1"/>
        <v>3.59</v>
      </c>
      <c r="H48" s="123">
        <f t="shared" si="0"/>
        <v>0.3</v>
      </c>
      <c r="I48" s="111">
        <v>2564.3</v>
      </c>
      <c r="J48" s="111">
        <v>1.07</v>
      </c>
      <c r="K48" s="112">
        <v>0.28</v>
      </c>
      <c r="L48" s="119">
        <v>3045.4</v>
      </c>
    </row>
    <row r="49" spans="1:11" s="119" customFormat="1" ht="30" hidden="1">
      <c r="A49" s="59" t="s">
        <v>120</v>
      </c>
      <c r="B49" s="122" t="s">
        <v>89</v>
      </c>
      <c r="C49" s="94"/>
      <c r="D49" s="15">
        <f>G49*I49</f>
        <v>0</v>
      </c>
      <c r="E49" s="94"/>
      <c r="F49" s="139"/>
      <c r="G49" s="123">
        <f t="shared" si="1"/>
        <v>3.59</v>
      </c>
      <c r="H49" s="123">
        <f t="shared" si="0"/>
        <v>0.3</v>
      </c>
      <c r="I49" s="111">
        <v>2564.3</v>
      </c>
      <c r="J49" s="111">
        <v>1.07</v>
      </c>
      <c r="K49" s="112">
        <v>0</v>
      </c>
    </row>
    <row r="50" spans="1:11" s="119" customFormat="1" ht="30" hidden="1">
      <c r="A50" s="59" t="s">
        <v>121</v>
      </c>
      <c r="B50" s="122" t="s">
        <v>89</v>
      </c>
      <c r="C50" s="94"/>
      <c r="D50" s="15">
        <f>G50*I50</f>
        <v>0</v>
      </c>
      <c r="E50" s="94"/>
      <c r="F50" s="139"/>
      <c r="G50" s="123">
        <f t="shared" si="1"/>
        <v>3.59</v>
      </c>
      <c r="H50" s="123">
        <f t="shared" si="0"/>
        <v>0.3</v>
      </c>
      <c r="I50" s="111">
        <v>2564.3</v>
      </c>
      <c r="J50" s="111">
        <v>1.07</v>
      </c>
      <c r="K50" s="112">
        <v>0</v>
      </c>
    </row>
    <row r="51" spans="1:11" s="119" customFormat="1" ht="30" hidden="1">
      <c r="A51" s="59" t="s">
        <v>122</v>
      </c>
      <c r="B51" s="122" t="s">
        <v>89</v>
      </c>
      <c r="C51" s="94"/>
      <c r="D51" s="15">
        <f>G51*I51</f>
        <v>0</v>
      </c>
      <c r="E51" s="94"/>
      <c r="F51" s="139"/>
      <c r="G51" s="123">
        <f t="shared" si="1"/>
        <v>3.59</v>
      </c>
      <c r="H51" s="123">
        <f t="shared" si="0"/>
        <v>0.3</v>
      </c>
      <c r="I51" s="111">
        <v>2564.3</v>
      </c>
      <c r="J51" s="111">
        <v>1.07</v>
      </c>
      <c r="K51" s="112">
        <v>0</v>
      </c>
    </row>
    <row r="52" spans="1:12" s="119" customFormat="1" ht="30">
      <c r="A52" s="59" t="s">
        <v>120</v>
      </c>
      <c r="B52" s="122" t="s">
        <v>89</v>
      </c>
      <c r="C52" s="94"/>
      <c r="D52" s="15">
        <f>3100.59*I52/L52</f>
        <v>2610.77</v>
      </c>
      <c r="E52" s="94"/>
      <c r="F52" s="139"/>
      <c r="G52" s="123">
        <f t="shared" si="1"/>
        <v>1.02</v>
      </c>
      <c r="H52" s="123">
        <f t="shared" si="0"/>
        <v>0.09</v>
      </c>
      <c r="I52" s="111">
        <v>2564.3</v>
      </c>
      <c r="J52" s="111"/>
      <c r="K52" s="112"/>
      <c r="L52" s="119">
        <v>3045.4</v>
      </c>
    </row>
    <row r="53" spans="1:12" s="119" customFormat="1" ht="30">
      <c r="A53" s="59" t="s">
        <v>121</v>
      </c>
      <c r="B53" s="122" t="s">
        <v>89</v>
      </c>
      <c r="C53" s="94"/>
      <c r="D53" s="15">
        <f>3100.59*I53/L53</f>
        <v>2610.77</v>
      </c>
      <c r="E53" s="94"/>
      <c r="F53" s="139"/>
      <c r="G53" s="123">
        <f t="shared" si="1"/>
        <v>1.02</v>
      </c>
      <c r="H53" s="123">
        <f t="shared" si="0"/>
        <v>0.09</v>
      </c>
      <c r="I53" s="111">
        <v>2564.3</v>
      </c>
      <c r="J53" s="111"/>
      <c r="K53" s="112"/>
      <c r="L53" s="119">
        <v>3045.4</v>
      </c>
    </row>
    <row r="54" spans="1:12" s="119" customFormat="1" ht="30">
      <c r="A54" s="59" t="s">
        <v>122</v>
      </c>
      <c r="B54" s="122" t="s">
        <v>89</v>
      </c>
      <c r="C54" s="94"/>
      <c r="D54" s="15">
        <f>10948.11*I54/L54</f>
        <v>9218.57</v>
      </c>
      <c r="E54" s="94"/>
      <c r="F54" s="139"/>
      <c r="G54" s="123">
        <f t="shared" si="1"/>
        <v>3.59</v>
      </c>
      <c r="H54" s="123">
        <f t="shared" si="0"/>
        <v>0.3</v>
      </c>
      <c r="I54" s="111">
        <v>2564.3</v>
      </c>
      <c r="J54" s="111"/>
      <c r="K54" s="112"/>
      <c r="L54" s="119">
        <v>3045.4</v>
      </c>
    </row>
    <row r="55" spans="1:11" s="119" customFormat="1" ht="30">
      <c r="A55" s="59" t="s">
        <v>61</v>
      </c>
      <c r="B55" s="122"/>
      <c r="C55" s="94">
        <f>F55*12</f>
        <v>0</v>
      </c>
      <c r="D55" s="15">
        <f>G55*I55</f>
        <v>5538.89</v>
      </c>
      <c r="E55" s="94">
        <f>H55*12</f>
        <v>2.16</v>
      </c>
      <c r="F55" s="139"/>
      <c r="G55" s="123">
        <f>H55*12</f>
        <v>2.16</v>
      </c>
      <c r="H55" s="123">
        <v>0.18</v>
      </c>
      <c r="I55" s="111">
        <v>2564.3</v>
      </c>
      <c r="J55" s="111">
        <v>1.07</v>
      </c>
      <c r="K55" s="112">
        <v>0.14</v>
      </c>
    </row>
    <row r="56" spans="1:12" s="111" customFormat="1" ht="15">
      <c r="A56" s="59" t="s">
        <v>37</v>
      </c>
      <c r="B56" s="122" t="s">
        <v>123</v>
      </c>
      <c r="C56" s="94">
        <f>F56*12</f>
        <v>0</v>
      </c>
      <c r="D56" s="15">
        <f>G56*I56</f>
        <v>1230.86</v>
      </c>
      <c r="E56" s="94">
        <f>H56*12</f>
        <v>0.48</v>
      </c>
      <c r="F56" s="139"/>
      <c r="G56" s="123">
        <f>H56*12</f>
        <v>0.48</v>
      </c>
      <c r="H56" s="123">
        <v>0.04</v>
      </c>
      <c r="I56" s="111">
        <v>2564.3</v>
      </c>
      <c r="J56" s="111">
        <v>1.07</v>
      </c>
      <c r="K56" s="112">
        <v>0.03</v>
      </c>
      <c r="L56" s="111">
        <v>3045.4</v>
      </c>
    </row>
    <row r="57" spans="1:12" s="111" customFormat="1" ht="15">
      <c r="A57" s="59" t="s">
        <v>38</v>
      </c>
      <c r="B57" s="144" t="s">
        <v>124</v>
      </c>
      <c r="C57" s="145">
        <f>F57*12</f>
        <v>0</v>
      </c>
      <c r="D57" s="15">
        <f>782.06*I57/L57</f>
        <v>658.51</v>
      </c>
      <c r="E57" s="145">
        <f>H57*12</f>
        <v>0.24</v>
      </c>
      <c r="F57" s="146"/>
      <c r="G57" s="123">
        <f>D57/I57</f>
        <v>0.26</v>
      </c>
      <c r="H57" s="123">
        <f>G57/12</f>
        <v>0.02</v>
      </c>
      <c r="I57" s="111">
        <v>2564.3</v>
      </c>
      <c r="J57" s="111">
        <v>1.07</v>
      </c>
      <c r="K57" s="112">
        <v>0.02</v>
      </c>
      <c r="L57" s="111">
        <v>3045.4</v>
      </c>
    </row>
    <row r="58" spans="1:12" s="140" customFormat="1" ht="30">
      <c r="A58" s="59" t="s">
        <v>39</v>
      </c>
      <c r="B58" s="122" t="s">
        <v>125</v>
      </c>
      <c r="C58" s="94">
        <f>F58*12</f>
        <v>0</v>
      </c>
      <c r="D58" s="15">
        <f>1173.08*I58/L58</f>
        <v>987.76</v>
      </c>
      <c r="E58" s="94">
        <f>H58*12</f>
        <v>0.36</v>
      </c>
      <c r="F58" s="139"/>
      <c r="G58" s="123">
        <f>D58/I58</f>
        <v>0.39</v>
      </c>
      <c r="H58" s="123">
        <f>G58/12</f>
        <v>0.03</v>
      </c>
      <c r="I58" s="111">
        <v>2564.3</v>
      </c>
      <c r="J58" s="111">
        <v>1.07</v>
      </c>
      <c r="K58" s="112">
        <v>0.03</v>
      </c>
      <c r="L58" s="140">
        <v>3045.4</v>
      </c>
    </row>
    <row r="59" spans="1:11" s="140" customFormat="1" ht="15">
      <c r="A59" s="59" t="s">
        <v>40</v>
      </c>
      <c r="B59" s="122"/>
      <c r="C59" s="123"/>
      <c r="D59" s="123">
        <f>D61+D62+D63+D64+D65+D66+D67+D68+D70+D69</f>
        <v>14842</v>
      </c>
      <c r="E59" s="123" t="e">
        <f>E61+E62+E63+E64+E65+E66+E67+E68+E69+E70+#REF!+#REF!</f>
        <v>#REF!</v>
      </c>
      <c r="F59" s="123" t="e">
        <f>F61+F62+F63+F64+F65+F66+F67+F68+F69+F70+#REF!+#REF!</f>
        <v>#REF!</v>
      </c>
      <c r="G59" s="123">
        <f>D59/I59</f>
        <v>5.79</v>
      </c>
      <c r="H59" s="123">
        <f>G59/12</f>
        <v>0.48</v>
      </c>
      <c r="I59" s="111">
        <v>2564.3</v>
      </c>
      <c r="J59" s="111">
        <v>1.07</v>
      </c>
      <c r="K59" s="112">
        <v>0.71</v>
      </c>
    </row>
    <row r="60" spans="1:11" s="119" customFormat="1" ht="15" hidden="1">
      <c r="A60" s="147"/>
      <c r="B60" s="132"/>
      <c r="C60" s="148"/>
      <c r="D60" s="16"/>
      <c r="E60" s="148"/>
      <c r="F60" s="149"/>
      <c r="G60" s="148"/>
      <c r="H60" s="148"/>
      <c r="I60" s="111"/>
      <c r="J60" s="111"/>
      <c r="K60" s="112"/>
    </row>
    <row r="61" spans="1:11" s="119" customFormat="1" ht="15">
      <c r="A61" s="147" t="s">
        <v>41</v>
      </c>
      <c r="B61" s="132" t="s">
        <v>113</v>
      </c>
      <c r="C61" s="148"/>
      <c r="D61" s="16">
        <v>184.33</v>
      </c>
      <c r="E61" s="148"/>
      <c r="F61" s="149"/>
      <c r="G61" s="148"/>
      <c r="H61" s="148"/>
      <c r="I61" s="111">
        <v>2564.3</v>
      </c>
      <c r="J61" s="111">
        <v>1.07</v>
      </c>
      <c r="K61" s="112">
        <v>0.01</v>
      </c>
    </row>
    <row r="62" spans="1:12" s="119" customFormat="1" ht="15">
      <c r="A62" s="147" t="s">
        <v>42</v>
      </c>
      <c r="B62" s="132" t="s">
        <v>115</v>
      </c>
      <c r="C62" s="148">
        <f>F62*12</f>
        <v>0</v>
      </c>
      <c r="D62" s="16">
        <f>390.07*I62/L62</f>
        <v>328.45</v>
      </c>
      <c r="E62" s="148">
        <f>H62*12</f>
        <v>0</v>
      </c>
      <c r="F62" s="149"/>
      <c r="G62" s="148"/>
      <c r="H62" s="148"/>
      <c r="I62" s="111">
        <v>2564.3</v>
      </c>
      <c r="J62" s="111">
        <v>1.07</v>
      </c>
      <c r="K62" s="112">
        <v>0.01</v>
      </c>
      <c r="L62" s="119">
        <v>3045.4</v>
      </c>
    </row>
    <row r="63" spans="1:12" s="119" customFormat="1" ht="15">
      <c r="A63" s="147" t="s">
        <v>126</v>
      </c>
      <c r="B63" s="132" t="s">
        <v>113</v>
      </c>
      <c r="C63" s="148">
        <f>F63*12</f>
        <v>0</v>
      </c>
      <c r="D63" s="16">
        <f>3572.1*I63/L63</f>
        <v>3007.79</v>
      </c>
      <c r="E63" s="148">
        <f>H63*12</f>
        <v>0</v>
      </c>
      <c r="F63" s="149"/>
      <c r="G63" s="148"/>
      <c r="H63" s="148"/>
      <c r="I63" s="111">
        <v>2564.3</v>
      </c>
      <c r="J63" s="111">
        <v>1.07</v>
      </c>
      <c r="K63" s="112">
        <v>0.27</v>
      </c>
      <c r="L63" s="119">
        <v>3045.4</v>
      </c>
    </row>
    <row r="64" spans="1:11" s="119" customFormat="1" ht="15">
      <c r="A64" s="147" t="s">
        <v>43</v>
      </c>
      <c r="B64" s="132" t="s">
        <v>113</v>
      </c>
      <c r="C64" s="148">
        <f>F64*12</f>
        <v>0</v>
      </c>
      <c r="D64" s="16">
        <v>743.35</v>
      </c>
      <c r="E64" s="148">
        <f>H64*12</f>
        <v>0</v>
      </c>
      <c r="F64" s="149"/>
      <c r="G64" s="148"/>
      <c r="H64" s="148"/>
      <c r="I64" s="111">
        <v>2564.3</v>
      </c>
      <c r="J64" s="111">
        <v>1.07</v>
      </c>
      <c r="K64" s="112">
        <v>0.02</v>
      </c>
    </row>
    <row r="65" spans="1:11" s="119" customFormat="1" ht="15">
      <c r="A65" s="147" t="s">
        <v>44</v>
      </c>
      <c r="B65" s="132" t="s">
        <v>113</v>
      </c>
      <c r="C65" s="148">
        <f>F65*12</f>
        <v>0</v>
      </c>
      <c r="D65" s="16">
        <v>3314.05</v>
      </c>
      <c r="E65" s="148">
        <f>H65*12</f>
        <v>0</v>
      </c>
      <c r="F65" s="149"/>
      <c r="G65" s="148"/>
      <c r="H65" s="148"/>
      <c r="I65" s="111">
        <v>2564.3</v>
      </c>
      <c r="J65" s="111">
        <v>1.07</v>
      </c>
      <c r="K65" s="112">
        <v>0.1</v>
      </c>
    </row>
    <row r="66" spans="1:11" s="119" customFormat="1" ht="15">
      <c r="A66" s="147" t="s">
        <v>45</v>
      </c>
      <c r="B66" s="132" t="s">
        <v>113</v>
      </c>
      <c r="C66" s="148">
        <f>F66*12</f>
        <v>0</v>
      </c>
      <c r="D66" s="16">
        <v>780.14</v>
      </c>
      <c r="E66" s="148">
        <f>H66*12</f>
        <v>0</v>
      </c>
      <c r="F66" s="149"/>
      <c r="G66" s="148"/>
      <c r="H66" s="148"/>
      <c r="I66" s="111">
        <v>2564.3</v>
      </c>
      <c r="J66" s="111">
        <v>1.07</v>
      </c>
      <c r="K66" s="112">
        <v>0.02</v>
      </c>
    </row>
    <row r="67" spans="1:12" s="119" customFormat="1" ht="15">
      <c r="A67" s="147" t="s">
        <v>46</v>
      </c>
      <c r="B67" s="132" t="s">
        <v>113</v>
      </c>
      <c r="C67" s="148"/>
      <c r="D67" s="16">
        <f>371.66*I67/L67</f>
        <v>312.95</v>
      </c>
      <c r="E67" s="148"/>
      <c r="F67" s="149"/>
      <c r="G67" s="148"/>
      <c r="H67" s="148"/>
      <c r="I67" s="111">
        <v>2564.3</v>
      </c>
      <c r="J67" s="111">
        <v>1.07</v>
      </c>
      <c r="K67" s="112">
        <v>0.01</v>
      </c>
      <c r="L67" s="119">
        <v>3045.4</v>
      </c>
    </row>
    <row r="68" spans="1:11" s="119" customFormat="1" ht="15">
      <c r="A68" s="147" t="s">
        <v>47</v>
      </c>
      <c r="B68" s="132" t="s">
        <v>115</v>
      </c>
      <c r="C68" s="148"/>
      <c r="D68" s="16">
        <v>1486.7</v>
      </c>
      <c r="E68" s="148"/>
      <c r="F68" s="149"/>
      <c r="G68" s="148"/>
      <c r="H68" s="148"/>
      <c r="I68" s="111">
        <v>2564.3</v>
      </c>
      <c r="J68" s="111">
        <v>1.07</v>
      </c>
      <c r="K68" s="112">
        <v>0.04</v>
      </c>
    </row>
    <row r="69" spans="1:12" s="119" customFormat="1" ht="25.5">
      <c r="A69" s="147" t="s">
        <v>48</v>
      </c>
      <c r="B69" s="132" t="s">
        <v>113</v>
      </c>
      <c r="C69" s="148">
        <f>F69*12</f>
        <v>0</v>
      </c>
      <c r="D69" s="16">
        <f>2454.73*I69/L69</f>
        <v>2066.94</v>
      </c>
      <c r="E69" s="148">
        <f>H69*12</f>
        <v>0</v>
      </c>
      <c r="F69" s="149"/>
      <c r="G69" s="148"/>
      <c r="H69" s="148"/>
      <c r="I69" s="111">
        <v>2564.3</v>
      </c>
      <c r="J69" s="111">
        <v>1.07</v>
      </c>
      <c r="K69" s="112">
        <v>0.06</v>
      </c>
      <c r="L69" s="119">
        <v>3045.4</v>
      </c>
    </row>
    <row r="70" spans="1:11" s="119" customFormat="1" ht="21.75" customHeight="1">
      <c r="A70" s="147" t="s">
        <v>49</v>
      </c>
      <c r="B70" s="132" t="s">
        <v>113</v>
      </c>
      <c r="C70" s="148"/>
      <c r="D70" s="16">
        <v>2617.3</v>
      </c>
      <c r="E70" s="148"/>
      <c r="F70" s="149"/>
      <c r="G70" s="148"/>
      <c r="H70" s="148"/>
      <c r="I70" s="111">
        <v>2564.3</v>
      </c>
      <c r="J70" s="111">
        <v>1.07</v>
      </c>
      <c r="K70" s="112">
        <v>0.01</v>
      </c>
    </row>
    <row r="71" spans="1:11" s="119" customFormat="1" ht="15" hidden="1">
      <c r="A71" s="147"/>
      <c r="B71" s="132"/>
      <c r="C71" s="150"/>
      <c r="D71" s="16"/>
      <c r="E71" s="150"/>
      <c r="F71" s="149"/>
      <c r="G71" s="148"/>
      <c r="H71" s="148"/>
      <c r="I71" s="111"/>
      <c r="J71" s="111"/>
      <c r="K71" s="112"/>
    </row>
    <row r="72" spans="1:11" s="119" customFormat="1" ht="15" hidden="1">
      <c r="A72" s="147"/>
      <c r="B72" s="132"/>
      <c r="C72" s="148"/>
      <c r="D72" s="16"/>
      <c r="E72" s="148"/>
      <c r="F72" s="149"/>
      <c r="G72" s="148"/>
      <c r="H72" s="148"/>
      <c r="I72" s="111"/>
      <c r="J72" s="111"/>
      <c r="K72" s="112"/>
    </row>
    <row r="73" spans="1:11" s="140" customFormat="1" ht="30">
      <c r="A73" s="59" t="s">
        <v>127</v>
      </c>
      <c r="B73" s="122"/>
      <c r="C73" s="123"/>
      <c r="D73" s="123">
        <f>D75+D80</f>
        <v>5939.03</v>
      </c>
      <c r="E73" s="123" t="e">
        <f>#REF!+#REF!+E75+#REF!+#REF!+#REF!+E80</f>
        <v>#REF!</v>
      </c>
      <c r="F73" s="123" t="e">
        <f>#REF!+#REF!+F75+#REF!+#REF!+#REF!+F80</f>
        <v>#REF!</v>
      </c>
      <c r="G73" s="123">
        <f>D73/I73</f>
        <v>2.32</v>
      </c>
      <c r="H73" s="123">
        <f>G73/12</f>
        <v>0.19</v>
      </c>
      <c r="I73" s="111">
        <v>2564.3</v>
      </c>
      <c r="J73" s="111">
        <v>1.07</v>
      </c>
      <c r="K73" s="112">
        <v>0.85</v>
      </c>
    </row>
    <row r="74" spans="1:11" s="119" customFormat="1" ht="25.5" hidden="1">
      <c r="A74" s="147" t="s">
        <v>128</v>
      </c>
      <c r="B74" s="151" t="s">
        <v>113</v>
      </c>
      <c r="C74" s="148"/>
      <c r="D74" s="16"/>
      <c r="E74" s="148"/>
      <c r="F74" s="149"/>
      <c r="G74" s="148"/>
      <c r="H74" s="148"/>
      <c r="I74" s="111">
        <v>3045.4</v>
      </c>
      <c r="J74" s="111">
        <v>1.07</v>
      </c>
      <c r="K74" s="112">
        <v>0.04</v>
      </c>
    </row>
    <row r="75" spans="1:11" s="119" customFormat="1" ht="25.5">
      <c r="A75" s="147" t="s">
        <v>129</v>
      </c>
      <c r="B75" s="132" t="s">
        <v>130</v>
      </c>
      <c r="C75" s="148"/>
      <c r="D75" s="16">
        <v>1486.68</v>
      </c>
      <c r="E75" s="148"/>
      <c r="F75" s="149"/>
      <c r="G75" s="148"/>
      <c r="H75" s="148"/>
      <c r="I75" s="111">
        <v>2564.3</v>
      </c>
      <c r="J75" s="111">
        <v>1.07</v>
      </c>
      <c r="K75" s="112">
        <v>0.04</v>
      </c>
    </row>
    <row r="76" spans="1:11" s="119" customFormat="1" ht="15" hidden="1">
      <c r="A76" s="147" t="s">
        <v>131</v>
      </c>
      <c r="B76" s="132" t="s">
        <v>132</v>
      </c>
      <c r="C76" s="148"/>
      <c r="D76" s="16"/>
      <c r="E76" s="148"/>
      <c r="F76" s="149"/>
      <c r="G76" s="148"/>
      <c r="H76" s="148"/>
      <c r="I76" s="111">
        <v>2564.3</v>
      </c>
      <c r="J76" s="111">
        <v>1.07</v>
      </c>
      <c r="K76" s="112">
        <v>0</v>
      </c>
    </row>
    <row r="77" spans="1:11" s="119" customFormat="1" ht="15" hidden="1">
      <c r="A77" s="147" t="s">
        <v>133</v>
      </c>
      <c r="B77" s="132" t="s">
        <v>113</v>
      </c>
      <c r="C77" s="148"/>
      <c r="D77" s="16"/>
      <c r="E77" s="148"/>
      <c r="F77" s="149"/>
      <c r="G77" s="148"/>
      <c r="H77" s="148"/>
      <c r="I77" s="111">
        <v>2564.3</v>
      </c>
      <c r="J77" s="111">
        <v>1.07</v>
      </c>
      <c r="K77" s="112">
        <v>0</v>
      </c>
    </row>
    <row r="78" spans="1:11" s="119" customFormat="1" ht="25.5" hidden="1">
      <c r="A78" s="147" t="s">
        <v>134</v>
      </c>
      <c r="B78" s="132" t="s">
        <v>113</v>
      </c>
      <c r="C78" s="148"/>
      <c r="D78" s="16"/>
      <c r="E78" s="148"/>
      <c r="F78" s="149"/>
      <c r="G78" s="148"/>
      <c r="H78" s="148"/>
      <c r="I78" s="111">
        <v>2564.3</v>
      </c>
      <c r="J78" s="111">
        <v>1.07</v>
      </c>
      <c r="K78" s="112">
        <v>0</v>
      </c>
    </row>
    <row r="79" spans="1:11" s="119" customFormat="1" ht="25.5" hidden="1">
      <c r="A79" s="147" t="s">
        <v>135</v>
      </c>
      <c r="B79" s="132" t="s">
        <v>89</v>
      </c>
      <c r="C79" s="148"/>
      <c r="D79" s="16">
        <f>G79*I79</f>
        <v>0</v>
      </c>
      <c r="E79" s="148"/>
      <c r="F79" s="149"/>
      <c r="G79" s="148"/>
      <c r="H79" s="148"/>
      <c r="I79" s="111">
        <v>3045.4</v>
      </c>
      <c r="J79" s="111">
        <v>1.07</v>
      </c>
      <c r="K79" s="112">
        <v>0.27</v>
      </c>
    </row>
    <row r="80" spans="1:12" s="119" customFormat="1" ht="20.25" customHeight="1">
      <c r="A80" s="147" t="s">
        <v>136</v>
      </c>
      <c r="B80" s="132" t="s">
        <v>75</v>
      </c>
      <c r="C80" s="150"/>
      <c r="D80" s="16">
        <f>5287.68*I80/L80</f>
        <v>4452.35</v>
      </c>
      <c r="E80" s="150"/>
      <c r="F80" s="149"/>
      <c r="G80" s="148"/>
      <c r="H80" s="148"/>
      <c r="I80" s="111">
        <v>2564.3</v>
      </c>
      <c r="J80" s="111">
        <v>1.07</v>
      </c>
      <c r="K80" s="112">
        <v>0.14</v>
      </c>
      <c r="L80" s="119">
        <v>3045.4</v>
      </c>
    </row>
    <row r="81" spans="1:11" s="158" customFormat="1" ht="15" hidden="1">
      <c r="A81" s="152" t="s">
        <v>137</v>
      </c>
      <c r="B81" s="153" t="s">
        <v>113</v>
      </c>
      <c r="C81" s="154"/>
      <c r="D81" s="155">
        <f>G81*I81</f>
        <v>0</v>
      </c>
      <c r="E81" s="154"/>
      <c r="F81" s="156"/>
      <c r="G81" s="154">
        <f>H81*12</f>
        <v>0</v>
      </c>
      <c r="H81" s="154">
        <v>0</v>
      </c>
      <c r="I81" s="157">
        <v>3045.4</v>
      </c>
      <c r="J81" s="111">
        <v>1.07</v>
      </c>
      <c r="K81" s="112">
        <v>0</v>
      </c>
    </row>
    <row r="82" spans="1:11" s="119" customFormat="1" ht="15">
      <c r="A82" s="59" t="s">
        <v>50</v>
      </c>
      <c r="B82" s="132"/>
      <c r="C82" s="148"/>
      <c r="D82" s="123">
        <f>D84+D85</f>
        <v>6007.14</v>
      </c>
      <c r="E82" s="123">
        <f>E84+E85</f>
        <v>0</v>
      </c>
      <c r="F82" s="123">
        <f>F84+F85</f>
        <v>0</v>
      </c>
      <c r="G82" s="123">
        <f>D82/I82</f>
        <v>2.34</v>
      </c>
      <c r="H82" s="123">
        <f>G82/12</f>
        <v>0.2</v>
      </c>
      <c r="I82" s="111">
        <v>2564.3</v>
      </c>
      <c r="J82" s="111">
        <v>1.07</v>
      </c>
      <c r="K82" s="112">
        <v>0.18</v>
      </c>
    </row>
    <row r="83" spans="1:11" s="119" customFormat="1" ht="15" hidden="1">
      <c r="A83" s="147" t="s">
        <v>138</v>
      </c>
      <c r="B83" s="132" t="s">
        <v>75</v>
      </c>
      <c r="C83" s="148"/>
      <c r="D83" s="16">
        <f aca="true" t="shared" si="2" ref="D83:D90">G83*I83</f>
        <v>0</v>
      </c>
      <c r="E83" s="148"/>
      <c r="F83" s="149"/>
      <c r="G83" s="148">
        <f aca="true" t="shared" si="3" ref="G83:G90">H83*12</f>
        <v>0</v>
      </c>
      <c r="H83" s="148">
        <v>0</v>
      </c>
      <c r="I83" s="111">
        <v>2564.3</v>
      </c>
      <c r="J83" s="111">
        <v>1.07</v>
      </c>
      <c r="K83" s="112">
        <v>0</v>
      </c>
    </row>
    <row r="84" spans="1:11" s="119" customFormat="1" ht="15">
      <c r="A84" s="147" t="s">
        <v>51</v>
      </c>
      <c r="B84" s="132" t="s">
        <v>113</v>
      </c>
      <c r="C84" s="148"/>
      <c r="D84" s="16">
        <v>5352.86</v>
      </c>
      <c r="E84" s="148"/>
      <c r="F84" s="149"/>
      <c r="G84" s="148"/>
      <c r="H84" s="148"/>
      <c r="I84" s="111">
        <v>2564.3</v>
      </c>
      <c r="J84" s="111">
        <v>1.07</v>
      </c>
      <c r="K84" s="112">
        <v>0.16</v>
      </c>
    </row>
    <row r="85" spans="1:12" s="119" customFormat="1" ht="15">
      <c r="A85" s="147" t="s">
        <v>52</v>
      </c>
      <c r="B85" s="132" t="s">
        <v>113</v>
      </c>
      <c r="C85" s="148"/>
      <c r="D85" s="16">
        <f>777.03*I85/L85</f>
        <v>654.28</v>
      </c>
      <c r="E85" s="148"/>
      <c r="F85" s="149"/>
      <c r="G85" s="148"/>
      <c r="H85" s="148"/>
      <c r="I85" s="111">
        <v>2564.3</v>
      </c>
      <c r="J85" s="111">
        <v>1.07</v>
      </c>
      <c r="K85" s="112">
        <v>0.02</v>
      </c>
      <c r="L85" s="119">
        <v>3045.4</v>
      </c>
    </row>
    <row r="86" spans="1:11" s="119" customFormat="1" ht="27.75" customHeight="1" hidden="1">
      <c r="A86" s="147" t="s">
        <v>139</v>
      </c>
      <c r="B86" s="132" t="s">
        <v>89</v>
      </c>
      <c r="C86" s="148"/>
      <c r="D86" s="16">
        <f t="shared" si="2"/>
        <v>0</v>
      </c>
      <c r="E86" s="148"/>
      <c r="F86" s="149"/>
      <c r="G86" s="148">
        <f t="shared" si="3"/>
        <v>0</v>
      </c>
      <c r="H86" s="148">
        <v>0</v>
      </c>
      <c r="I86" s="111">
        <v>3045.4</v>
      </c>
      <c r="J86" s="111">
        <v>1.07</v>
      </c>
      <c r="K86" s="112">
        <v>0</v>
      </c>
    </row>
    <row r="87" spans="1:11" s="119" customFormat="1" ht="25.5" hidden="1">
      <c r="A87" s="147" t="s">
        <v>140</v>
      </c>
      <c r="B87" s="132" t="s">
        <v>89</v>
      </c>
      <c r="C87" s="148"/>
      <c r="D87" s="16">
        <f t="shared" si="2"/>
        <v>0</v>
      </c>
      <c r="E87" s="148"/>
      <c r="F87" s="149"/>
      <c r="G87" s="148">
        <f t="shared" si="3"/>
        <v>0</v>
      </c>
      <c r="H87" s="148">
        <v>0</v>
      </c>
      <c r="I87" s="111">
        <v>3045.4</v>
      </c>
      <c r="J87" s="111">
        <v>1.07</v>
      </c>
      <c r="K87" s="112">
        <v>0</v>
      </c>
    </row>
    <row r="88" spans="1:11" s="119" customFormat="1" ht="25.5" hidden="1">
      <c r="A88" s="147" t="s">
        <v>141</v>
      </c>
      <c r="B88" s="132" t="s">
        <v>89</v>
      </c>
      <c r="C88" s="148"/>
      <c r="D88" s="16">
        <f t="shared" si="2"/>
        <v>0</v>
      </c>
      <c r="E88" s="148"/>
      <c r="F88" s="149"/>
      <c r="G88" s="148">
        <f t="shared" si="3"/>
        <v>0</v>
      </c>
      <c r="H88" s="148">
        <v>0</v>
      </c>
      <c r="I88" s="111">
        <v>3045.4</v>
      </c>
      <c r="J88" s="111">
        <v>1.07</v>
      </c>
      <c r="K88" s="112">
        <v>0</v>
      </c>
    </row>
    <row r="89" spans="1:11" s="119" customFormat="1" ht="25.5" hidden="1">
      <c r="A89" s="147" t="s">
        <v>142</v>
      </c>
      <c r="B89" s="132" t="s">
        <v>89</v>
      </c>
      <c r="C89" s="148"/>
      <c r="D89" s="16">
        <f t="shared" si="2"/>
        <v>0</v>
      </c>
      <c r="E89" s="148"/>
      <c r="F89" s="149"/>
      <c r="G89" s="148">
        <f t="shared" si="3"/>
        <v>0</v>
      </c>
      <c r="H89" s="148">
        <v>0</v>
      </c>
      <c r="I89" s="111">
        <v>3045.4</v>
      </c>
      <c r="J89" s="111">
        <v>1.07</v>
      </c>
      <c r="K89" s="112">
        <v>0</v>
      </c>
    </row>
    <row r="90" spans="1:11" s="119" customFormat="1" ht="25.5" hidden="1">
      <c r="A90" s="147" t="s">
        <v>143</v>
      </c>
      <c r="B90" s="132" t="s">
        <v>89</v>
      </c>
      <c r="C90" s="148"/>
      <c r="D90" s="16">
        <f t="shared" si="2"/>
        <v>0</v>
      </c>
      <c r="E90" s="148"/>
      <c r="F90" s="149"/>
      <c r="G90" s="148">
        <f t="shared" si="3"/>
        <v>0</v>
      </c>
      <c r="H90" s="148">
        <v>0</v>
      </c>
      <c r="I90" s="111">
        <v>3045.4</v>
      </c>
      <c r="J90" s="111">
        <v>1.07</v>
      </c>
      <c r="K90" s="112">
        <v>0</v>
      </c>
    </row>
    <row r="91" spans="1:11" s="119" customFormat="1" ht="15">
      <c r="A91" s="59" t="s">
        <v>144</v>
      </c>
      <c r="B91" s="132"/>
      <c r="C91" s="148"/>
      <c r="D91" s="123">
        <f>D92</f>
        <v>784.99</v>
      </c>
      <c r="E91" s="123" t="e">
        <f>E92+#REF!+#REF!</f>
        <v>#REF!</v>
      </c>
      <c r="F91" s="123" t="e">
        <f>F92+#REF!+#REF!</f>
        <v>#REF!</v>
      </c>
      <c r="G91" s="123">
        <f>D91/I91</f>
        <v>0.31</v>
      </c>
      <c r="H91" s="123">
        <f>G91/12</f>
        <v>0.03</v>
      </c>
      <c r="I91" s="111">
        <v>2564.3</v>
      </c>
      <c r="J91" s="111">
        <v>1.07</v>
      </c>
      <c r="K91" s="112">
        <v>0.12</v>
      </c>
    </row>
    <row r="92" spans="1:12" s="119" customFormat="1" ht="15">
      <c r="A92" s="147" t="s">
        <v>145</v>
      </c>
      <c r="B92" s="132" t="s">
        <v>113</v>
      </c>
      <c r="C92" s="148"/>
      <c r="D92" s="16">
        <f>932.26*I92/L92</f>
        <v>784.99</v>
      </c>
      <c r="E92" s="148"/>
      <c r="F92" s="149"/>
      <c r="G92" s="148"/>
      <c r="H92" s="148"/>
      <c r="I92" s="111">
        <v>2564.3</v>
      </c>
      <c r="J92" s="111">
        <v>1.07</v>
      </c>
      <c r="K92" s="112">
        <v>0.02</v>
      </c>
      <c r="L92" s="119">
        <v>3045.4</v>
      </c>
    </row>
    <row r="93" spans="1:11" s="111" customFormat="1" ht="15">
      <c r="A93" s="59" t="s">
        <v>146</v>
      </c>
      <c r="B93" s="122"/>
      <c r="C93" s="123"/>
      <c r="D93" s="123">
        <f>D94</f>
        <v>1381.39</v>
      </c>
      <c r="E93" s="123" t="e">
        <f>E94+#REF!</f>
        <v>#REF!</v>
      </c>
      <c r="F93" s="123" t="e">
        <f>F94+#REF!</f>
        <v>#REF!</v>
      </c>
      <c r="G93" s="123">
        <f>D93/I93</f>
        <v>0.54</v>
      </c>
      <c r="H93" s="123">
        <f>G93/12</f>
        <v>0.05</v>
      </c>
      <c r="I93" s="111">
        <v>2564.3</v>
      </c>
      <c r="J93" s="111">
        <v>1.07</v>
      </c>
      <c r="K93" s="112">
        <v>0.64</v>
      </c>
    </row>
    <row r="94" spans="1:11" s="119" customFormat="1" ht="25.5">
      <c r="A94" s="147" t="s">
        <v>147</v>
      </c>
      <c r="B94" s="134" t="s">
        <v>89</v>
      </c>
      <c r="C94" s="148"/>
      <c r="D94" s="16">
        <v>1381.39</v>
      </c>
      <c r="E94" s="148"/>
      <c r="F94" s="149"/>
      <c r="G94" s="148"/>
      <c r="H94" s="148"/>
      <c r="I94" s="111">
        <v>2564.3</v>
      </c>
      <c r="J94" s="111">
        <v>1.07</v>
      </c>
      <c r="K94" s="112">
        <v>0.04</v>
      </c>
    </row>
    <row r="95" spans="1:11" s="111" customFormat="1" ht="15">
      <c r="A95" s="59" t="s">
        <v>148</v>
      </c>
      <c r="B95" s="122"/>
      <c r="C95" s="123"/>
      <c r="D95" s="123">
        <f>D96+D108</f>
        <v>1864.88</v>
      </c>
      <c r="E95" s="123" t="e">
        <f>E96+#REF!</f>
        <v>#REF!</v>
      </c>
      <c r="F95" s="123" t="e">
        <f>F96+#REF!</f>
        <v>#REF!</v>
      </c>
      <c r="G95" s="123">
        <f>D95/I95</f>
        <v>0.73</v>
      </c>
      <c r="H95" s="123">
        <f>G95/12</f>
        <v>0.06</v>
      </c>
      <c r="I95" s="111">
        <v>2564.3</v>
      </c>
      <c r="J95" s="111">
        <v>1.07</v>
      </c>
      <c r="K95" s="112">
        <v>0.05</v>
      </c>
    </row>
    <row r="96" spans="1:11" s="119" customFormat="1" ht="15.75" thickBot="1">
      <c r="A96" s="147" t="s">
        <v>149</v>
      </c>
      <c r="B96" s="132" t="s">
        <v>150</v>
      </c>
      <c r="C96" s="148"/>
      <c r="D96" s="63">
        <v>1036.02</v>
      </c>
      <c r="E96" s="159"/>
      <c r="F96" s="160"/>
      <c r="G96" s="159"/>
      <c r="H96" s="159"/>
      <c r="I96" s="111">
        <v>2564.3</v>
      </c>
      <c r="J96" s="111">
        <v>1.07</v>
      </c>
      <c r="K96" s="112">
        <v>0.03</v>
      </c>
    </row>
    <row r="97" spans="1:11" s="119" customFormat="1" ht="25.5" customHeight="1" hidden="1">
      <c r="A97" s="147" t="s">
        <v>151</v>
      </c>
      <c r="B97" s="132" t="s">
        <v>113</v>
      </c>
      <c r="C97" s="148"/>
      <c r="D97" s="16"/>
      <c r="E97" s="148"/>
      <c r="F97" s="149"/>
      <c r="G97" s="148"/>
      <c r="H97" s="148">
        <v>0</v>
      </c>
      <c r="I97" s="111">
        <v>2564.3</v>
      </c>
      <c r="J97" s="111">
        <v>1.07</v>
      </c>
      <c r="K97" s="112">
        <v>0</v>
      </c>
    </row>
    <row r="98" spans="1:10" s="111" customFormat="1" ht="29.25" customHeight="1" hidden="1">
      <c r="A98" s="161" t="s">
        <v>152</v>
      </c>
      <c r="B98" s="151"/>
      <c r="C98" s="145"/>
      <c r="D98" s="145">
        <f>G98*I98</f>
        <v>0</v>
      </c>
      <c r="E98" s="145"/>
      <c r="F98" s="146"/>
      <c r="G98" s="145">
        <f>H98*12</f>
        <v>0</v>
      </c>
      <c r="H98" s="145">
        <v>0</v>
      </c>
      <c r="I98" s="111">
        <v>2564.3</v>
      </c>
      <c r="J98" s="112"/>
    </row>
    <row r="99" spans="1:11" s="111" customFormat="1" ht="19.5" hidden="1" thickBot="1">
      <c r="A99" s="162" t="s">
        <v>3</v>
      </c>
      <c r="B99" s="122"/>
      <c r="C99" s="94" t="e">
        <f>F99*12</f>
        <v>#REF!</v>
      </c>
      <c r="D99" s="94">
        <f>SUM(D100:D106)</f>
        <v>0</v>
      </c>
      <c r="E99" s="94">
        <f>H99*12</f>
        <v>0</v>
      </c>
      <c r="F99" s="94" t="e">
        <f>#REF!+#REF!+#REF!+#REF!+#REF!+#REF!+#REF!+#REF!+#REF!+#REF!</f>
        <v>#REF!</v>
      </c>
      <c r="G99" s="94">
        <f>G100+G101+G102+G103+G104+G105+G106</f>
        <v>0</v>
      </c>
      <c r="H99" s="94">
        <f>SUM(H100:H106)</f>
        <v>0</v>
      </c>
      <c r="I99" s="111">
        <v>2564.3</v>
      </c>
      <c r="K99" s="112"/>
    </row>
    <row r="100" spans="1:11" s="111" customFormat="1" ht="15.75" hidden="1" thickBot="1">
      <c r="A100" s="163" t="s">
        <v>153</v>
      </c>
      <c r="B100" s="164"/>
      <c r="C100" s="165"/>
      <c r="D100" s="94"/>
      <c r="E100" s="94"/>
      <c r="F100" s="94"/>
      <c r="G100" s="94"/>
      <c r="H100" s="165"/>
      <c r="I100" s="111">
        <v>2564.3</v>
      </c>
      <c r="K100" s="112"/>
    </row>
    <row r="101" spans="1:11" s="111" customFormat="1" ht="15.75" hidden="1" thickBot="1">
      <c r="A101" s="163" t="s">
        <v>154</v>
      </c>
      <c r="B101" s="164"/>
      <c r="C101" s="165"/>
      <c r="D101" s="94"/>
      <c r="E101" s="94"/>
      <c r="F101" s="94"/>
      <c r="G101" s="94"/>
      <c r="H101" s="165"/>
      <c r="I101" s="111">
        <v>2564.3</v>
      </c>
      <c r="K101" s="112"/>
    </row>
    <row r="102" spans="1:11" s="111" customFormat="1" ht="15.75" hidden="1" thickBot="1">
      <c r="A102" s="163" t="s">
        <v>155</v>
      </c>
      <c r="B102" s="164"/>
      <c r="C102" s="165"/>
      <c r="D102" s="94"/>
      <c r="E102" s="94"/>
      <c r="F102" s="94"/>
      <c r="G102" s="94"/>
      <c r="H102" s="165"/>
      <c r="I102" s="111">
        <v>2564.3</v>
      </c>
      <c r="K102" s="112"/>
    </row>
    <row r="103" spans="1:11" s="111" customFormat="1" ht="15.75" hidden="1" thickBot="1">
      <c r="A103" s="163" t="s">
        <v>156</v>
      </c>
      <c r="B103" s="164"/>
      <c r="C103" s="165"/>
      <c r="D103" s="94"/>
      <c r="E103" s="94"/>
      <c r="F103" s="94"/>
      <c r="G103" s="94"/>
      <c r="H103" s="165"/>
      <c r="I103" s="111">
        <v>2564.3</v>
      </c>
      <c r="K103" s="112"/>
    </row>
    <row r="104" spans="1:11" s="111" customFormat="1" ht="15.75" hidden="1" thickBot="1">
      <c r="A104" s="163" t="s">
        <v>157</v>
      </c>
      <c r="B104" s="164"/>
      <c r="C104" s="165"/>
      <c r="D104" s="94"/>
      <c r="E104" s="94"/>
      <c r="F104" s="94"/>
      <c r="G104" s="94"/>
      <c r="H104" s="165"/>
      <c r="I104" s="111">
        <v>2564.3</v>
      </c>
      <c r="K104" s="112"/>
    </row>
    <row r="105" spans="1:11" s="111" customFormat="1" ht="15.75" hidden="1" thickBot="1">
      <c r="A105" s="163" t="s">
        <v>158</v>
      </c>
      <c r="B105" s="164"/>
      <c r="C105" s="165"/>
      <c r="D105" s="94"/>
      <c r="E105" s="94"/>
      <c r="F105" s="94"/>
      <c r="G105" s="94"/>
      <c r="H105" s="165"/>
      <c r="I105" s="111">
        <v>2564.3</v>
      </c>
      <c r="K105" s="112"/>
    </row>
    <row r="106" spans="1:11" s="111" customFormat="1" ht="15.75" hidden="1" thickBot="1">
      <c r="A106" s="166" t="s">
        <v>159</v>
      </c>
      <c r="B106" s="167"/>
      <c r="C106" s="168"/>
      <c r="D106" s="145"/>
      <c r="E106" s="145"/>
      <c r="F106" s="145"/>
      <c r="G106" s="145"/>
      <c r="H106" s="168"/>
      <c r="I106" s="111">
        <v>2564.3</v>
      </c>
      <c r="K106" s="112"/>
    </row>
    <row r="107" spans="1:11" s="111" customFormat="1" ht="26.25" hidden="1" thickBot="1">
      <c r="A107" s="169" t="s">
        <v>160</v>
      </c>
      <c r="B107" s="151" t="s">
        <v>161</v>
      </c>
      <c r="C107" s="170"/>
      <c r="D107" s="145"/>
      <c r="E107" s="145"/>
      <c r="F107" s="146"/>
      <c r="G107" s="145"/>
      <c r="H107" s="145"/>
      <c r="I107" s="111">
        <v>2564.3</v>
      </c>
      <c r="K107" s="112"/>
    </row>
    <row r="108" spans="1:11" s="111" customFormat="1" ht="15.75" thickBot="1">
      <c r="A108" s="171" t="s">
        <v>162</v>
      </c>
      <c r="B108" s="172" t="s">
        <v>150</v>
      </c>
      <c r="C108" s="170"/>
      <c r="D108" s="168">
        <v>828.86</v>
      </c>
      <c r="E108" s="145"/>
      <c r="F108" s="173"/>
      <c r="G108" s="145"/>
      <c r="H108" s="145"/>
      <c r="I108" s="111">
        <v>2564.3</v>
      </c>
      <c r="K108" s="112"/>
    </row>
    <row r="109" spans="1:11" s="111" customFormat="1" ht="19.5" thickBot="1">
      <c r="A109" s="174" t="s">
        <v>53</v>
      </c>
      <c r="B109" s="175" t="s">
        <v>83</v>
      </c>
      <c r="C109" s="170"/>
      <c r="D109" s="94">
        <f>G109*I109</f>
        <v>43387.96</v>
      </c>
      <c r="E109" s="94"/>
      <c r="F109" s="94"/>
      <c r="G109" s="94">
        <f>12*H109</f>
        <v>16.92</v>
      </c>
      <c r="H109" s="94">
        <v>1.41</v>
      </c>
      <c r="I109" s="111">
        <v>2564.3</v>
      </c>
      <c r="K109" s="112"/>
    </row>
    <row r="110" spans="1:11" s="111" customFormat="1" ht="20.25" thickBot="1">
      <c r="A110" s="176" t="s">
        <v>4</v>
      </c>
      <c r="B110" s="177"/>
      <c r="C110" s="178" t="e">
        <f>F110*12</f>
        <v>#REF!</v>
      </c>
      <c r="D110" s="179">
        <f>D13+D18+D27+D28+D29+D35+D38+D39+D45+D46+D47+D48+D52+D53+D54+D55+D56+D57+D58+D59+D73+D82+D91+D93+D95+D109</f>
        <v>515840.56</v>
      </c>
      <c r="E110" s="179" t="e">
        <f>E13+E18+E27+E28+E29+E35+E38+E39+E45+E46+E47+E48+E52+E53+E54+E55+E56+E57+E58+E59+E73+E82+E91+E93+E95+E109</f>
        <v>#REF!</v>
      </c>
      <c r="F110" s="179" t="e">
        <f>F13+F18+F27+F28+F29+F35+F38+F39+F45+F46+F47+F48+F52+F53+F54+F55+F56+F57+F58+F59+F73+F82+F91+F93+F95+F109</f>
        <v>#REF!</v>
      </c>
      <c r="G110" s="179">
        <f>G13+G18+G27+G28+G29+G35+G38+G39+G45+G46+G47+G48+G52+G53+G54+G55+G56+G57+G58+G59+G73+G82+G91+G93+G95+G109</f>
        <v>201.18</v>
      </c>
      <c r="H110" s="179">
        <f>H13+H18+H27+H28+H29+H35+H38+H39+H45+H46+H47+H48+H52+H53+H54+H55+H56+H57+H58+H59+H73+H82+H91+H93+H95+H109</f>
        <v>16.79</v>
      </c>
      <c r="I110" s="111">
        <v>2564.3</v>
      </c>
      <c r="K110" s="112"/>
    </row>
    <row r="111" spans="1:11" s="184" customFormat="1" ht="20.25" hidden="1" thickBot="1">
      <c r="A111" s="180" t="s">
        <v>2</v>
      </c>
      <c r="B111" s="181" t="s">
        <v>83</v>
      </c>
      <c r="C111" s="181" t="s">
        <v>163</v>
      </c>
      <c r="D111" s="182"/>
      <c r="E111" s="181" t="s">
        <v>163</v>
      </c>
      <c r="F111" s="183"/>
      <c r="G111" s="181" t="s">
        <v>163</v>
      </c>
      <c r="H111" s="183">
        <v>24.94</v>
      </c>
      <c r="K111" s="185"/>
    </row>
    <row r="112" spans="1:11" s="187" customFormat="1" ht="12.75">
      <c r="A112" s="186"/>
      <c r="K112" s="188"/>
    </row>
    <row r="113" spans="1:11" s="192" customFormat="1" ht="19.5" thickBot="1">
      <c r="A113" s="189"/>
      <c r="B113" s="190"/>
      <c r="C113" s="191"/>
      <c r="D113" s="191"/>
      <c r="E113" s="191"/>
      <c r="F113" s="191"/>
      <c r="G113" s="191"/>
      <c r="H113" s="191"/>
      <c r="K113" s="193"/>
    </row>
    <row r="114" spans="1:11" s="192" customFormat="1" ht="30.75" thickBot="1">
      <c r="A114" s="169" t="s">
        <v>164</v>
      </c>
      <c r="B114" s="177"/>
      <c r="C114" s="178">
        <f>F114*12</f>
        <v>0</v>
      </c>
      <c r="D114" s="178">
        <f>D117+D121+D123+D124+D122</f>
        <v>151085.69</v>
      </c>
      <c r="E114" s="178">
        <f>E117+E121+E123+E124+E122</f>
        <v>0</v>
      </c>
      <c r="F114" s="178">
        <f>F117+F121+F123+F124+F122</f>
        <v>0</v>
      </c>
      <c r="G114" s="178">
        <f>G117+G121+G123+G124+G122</f>
        <v>58.93</v>
      </c>
      <c r="H114" s="178">
        <f>H117+H121+H123+H124+H122</f>
        <v>4.91</v>
      </c>
      <c r="I114" s="111">
        <v>2564.3</v>
      </c>
      <c r="K114" s="193"/>
    </row>
    <row r="115" spans="1:11" s="119" customFormat="1" ht="15" hidden="1">
      <c r="A115" s="147"/>
      <c r="B115" s="132"/>
      <c r="C115" s="148"/>
      <c r="D115" s="16"/>
      <c r="E115" s="148"/>
      <c r="F115" s="149"/>
      <c r="G115" s="148"/>
      <c r="H115" s="148"/>
      <c r="I115" s="111"/>
      <c r="J115" s="111"/>
      <c r="K115" s="112"/>
    </row>
    <row r="116" spans="1:11" s="119" customFormat="1" ht="15" hidden="1">
      <c r="A116" s="147"/>
      <c r="B116" s="132"/>
      <c r="C116" s="148"/>
      <c r="D116" s="16"/>
      <c r="E116" s="148"/>
      <c r="F116" s="149"/>
      <c r="G116" s="148"/>
      <c r="H116" s="148"/>
      <c r="I116" s="111"/>
      <c r="J116" s="111"/>
      <c r="K116" s="112"/>
    </row>
    <row r="117" spans="1:11" s="119" customFormat="1" ht="15">
      <c r="A117" s="147" t="s">
        <v>165</v>
      </c>
      <c r="B117" s="132"/>
      <c r="C117" s="148"/>
      <c r="D117" s="16">
        <v>683.3</v>
      </c>
      <c r="E117" s="148"/>
      <c r="F117" s="149"/>
      <c r="G117" s="148">
        <f>D117/I117</f>
        <v>0.27</v>
      </c>
      <c r="H117" s="148">
        <f aca="true" t="shared" si="4" ref="H117:H124">G117/12</f>
        <v>0.02</v>
      </c>
      <c r="I117" s="111">
        <v>2564.3</v>
      </c>
      <c r="J117" s="111"/>
      <c r="K117" s="112"/>
    </row>
    <row r="118" spans="1:11" s="119" customFormat="1" ht="15" hidden="1">
      <c r="A118" s="147"/>
      <c r="B118" s="132"/>
      <c r="C118" s="148"/>
      <c r="D118" s="16"/>
      <c r="E118" s="148"/>
      <c r="F118" s="149"/>
      <c r="G118" s="148" t="e">
        <f aca="true" t="shared" si="5" ref="G118:G124">D118/I118</f>
        <v>#DIV/0!</v>
      </c>
      <c r="H118" s="148" t="e">
        <f t="shared" si="4"/>
        <v>#DIV/0!</v>
      </c>
      <c r="I118" s="111"/>
      <c r="J118" s="111"/>
      <c r="K118" s="112"/>
    </row>
    <row r="119" spans="1:11" s="119" customFormat="1" ht="15" hidden="1">
      <c r="A119" s="147"/>
      <c r="B119" s="132"/>
      <c r="C119" s="148"/>
      <c r="D119" s="16"/>
      <c r="E119" s="148"/>
      <c r="F119" s="149"/>
      <c r="G119" s="148" t="e">
        <f t="shared" si="5"/>
        <v>#DIV/0!</v>
      </c>
      <c r="H119" s="148" t="e">
        <f t="shared" si="4"/>
        <v>#DIV/0!</v>
      </c>
      <c r="I119" s="111"/>
      <c r="J119" s="111"/>
      <c r="K119" s="112"/>
    </row>
    <row r="120" spans="1:11" s="119" customFormat="1" ht="15" hidden="1">
      <c r="A120" s="147"/>
      <c r="B120" s="132"/>
      <c r="C120" s="148"/>
      <c r="D120" s="16"/>
      <c r="E120" s="148"/>
      <c r="F120" s="149"/>
      <c r="G120" s="148" t="e">
        <f t="shared" si="5"/>
        <v>#DIV/0!</v>
      </c>
      <c r="H120" s="148" t="e">
        <f t="shared" si="4"/>
        <v>#DIV/0!</v>
      </c>
      <c r="I120" s="111"/>
      <c r="J120" s="111"/>
      <c r="K120" s="112"/>
    </row>
    <row r="121" spans="1:11" s="119" customFormat="1" ht="15">
      <c r="A121" s="147" t="s">
        <v>166</v>
      </c>
      <c r="B121" s="132"/>
      <c r="C121" s="148"/>
      <c r="D121" s="16">
        <v>35386.28</v>
      </c>
      <c r="E121" s="148"/>
      <c r="F121" s="149"/>
      <c r="G121" s="148">
        <f t="shared" si="5"/>
        <v>13.8</v>
      </c>
      <c r="H121" s="148">
        <f t="shared" si="4"/>
        <v>1.15</v>
      </c>
      <c r="I121" s="111">
        <v>2564.3</v>
      </c>
      <c r="J121" s="111"/>
      <c r="K121" s="112"/>
    </row>
    <row r="122" spans="1:12" s="119" customFormat="1" ht="15">
      <c r="A122" s="147" t="s">
        <v>167</v>
      </c>
      <c r="B122" s="132"/>
      <c r="C122" s="148"/>
      <c r="D122" s="16">
        <f>320.71*I122/L122</f>
        <v>270.05</v>
      </c>
      <c r="E122" s="148"/>
      <c r="F122" s="149"/>
      <c r="G122" s="148">
        <f t="shared" si="5"/>
        <v>0.11</v>
      </c>
      <c r="H122" s="148">
        <f t="shared" si="4"/>
        <v>0.01</v>
      </c>
      <c r="I122" s="111">
        <v>2564.3</v>
      </c>
      <c r="J122" s="111"/>
      <c r="K122" s="112"/>
      <c r="L122" s="119">
        <v>3045.4</v>
      </c>
    </row>
    <row r="123" spans="1:11" s="119" customFormat="1" ht="15">
      <c r="A123" s="147" t="s">
        <v>168</v>
      </c>
      <c r="B123" s="132"/>
      <c r="C123" s="148"/>
      <c r="D123" s="16">
        <v>74127.55</v>
      </c>
      <c r="E123" s="148"/>
      <c r="F123" s="149"/>
      <c r="G123" s="148">
        <f t="shared" si="5"/>
        <v>28.91</v>
      </c>
      <c r="H123" s="148">
        <f t="shared" si="4"/>
        <v>2.41</v>
      </c>
      <c r="I123" s="111">
        <v>2564.3</v>
      </c>
      <c r="J123" s="111"/>
      <c r="K123" s="112"/>
    </row>
    <row r="124" spans="1:12" s="119" customFormat="1" ht="15">
      <c r="A124" s="147" t="s">
        <v>169</v>
      </c>
      <c r="B124" s="132"/>
      <c r="C124" s="148"/>
      <c r="D124" s="16">
        <v>40618.51</v>
      </c>
      <c r="E124" s="148"/>
      <c r="F124" s="149"/>
      <c r="G124" s="148">
        <f t="shared" si="5"/>
        <v>15.84</v>
      </c>
      <c r="H124" s="148">
        <f t="shared" si="4"/>
        <v>1.32</v>
      </c>
      <c r="I124" s="111">
        <v>2564.3</v>
      </c>
      <c r="J124" s="111"/>
      <c r="K124" s="112"/>
      <c r="L124" s="119">
        <v>3045.4</v>
      </c>
    </row>
    <row r="125" spans="1:11" s="192" customFormat="1" ht="19.5" thickBot="1">
      <c r="A125" s="189"/>
      <c r="B125" s="190"/>
      <c r="C125" s="191"/>
      <c r="D125" s="191"/>
      <c r="E125" s="191"/>
      <c r="F125" s="191"/>
      <c r="G125" s="191"/>
      <c r="H125" s="191"/>
      <c r="K125" s="193"/>
    </row>
    <row r="126" spans="1:11" s="192" customFormat="1" ht="20.25" thickBot="1">
      <c r="A126" s="176" t="s">
        <v>6</v>
      </c>
      <c r="B126" s="194"/>
      <c r="C126" s="194"/>
      <c r="D126" s="195">
        <f>D110+D114</f>
        <v>666926.25</v>
      </c>
      <c r="E126" s="195" t="e">
        <f>E110+E114</f>
        <v>#REF!</v>
      </c>
      <c r="F126" s="195" t="e">
        <f>F110+F114</f>
        <v>#REF!</v>
      </c>
      <c r="G126" s="195">
        <f>G110+G114</f>
        <v>260.11</v>
      </c>
      <c r="H126" s="195">
        <f>H110+H114</f>
        <v>21.7</v>
      </c>
      <c r="K126" s="193"/>
    </row>
    <row r="127" spans="1:11" s="192" customFormat="1" ht="19.5">
      <c r="A127" s="196"/>
      <c r="B127" s="197"/>
      <c r="C127" s="197"/>
      <c r="D127" s="198"/>
      <c r="E127" s="197"/>
      <c r="F127" s="197"/>
      <c r="G127" s="198"/>
      <c r="H127" s="198"/>
      <c r="K127" s="193"/>
    </row>
    <row r="128" spans="1:11" s="192" customFormat="1" ht="19.5">
      <c r="A128" s="196"/>
      <c r="B128" s="197"/>
      <c r="C128" s="197"/>
      <c r="D128" s="198"/>
      <c r="E128" s="197"/>
      <c r="F128" s="197"/>
      <c r="G128" s="198"/>
      <c r="H128" s="198"/>
      <c r="K128" s="193"/>
    </row>
    <row r="129" spans="1:11" s="192" customFormat="1" ht="19.5">
      <c r="A129" s="196"/>
      <c r="B129" s="197"/>
      <c r="C129" s="197"/>
      <c r="D129" s="198"/>
      <c r="E129" s="197"/>
      <c r="F129" s="197"/>
      <c r="G129" s="198"/>
      <c r="H129" s="198"/>
      <c r="K129" s="193"/>
    </row>
    <row r="130" spans="1:11" s="184" customFormat="1" ht="19.5">
      <c r="A130" s="199"/>
      <c r="B130" s="197"/>
      <c r="C130" s="198"/>
      <c r="D130" s="198"/>
      <c r="E130" s="198"/>
      <c r="F130" s="198"/>
      <c r="G130" s="198"/>
      <c r="H130" s="198"/>
      <c r="K130" s="185"/>
    </row>
    <row r="131" spans="1:11" s="187" customFormat="1" ht="14.25">
      <c r="A131" s="243" t="s">
        <v>170</v>
      </c>
      <c r="B131" s="243"/>
      <c r="C131" s="243"/>
      <c r="D131" s="243"/>
      <c r="E131" s="243"/>
      <c r="F131" s="243"/>
      <c r="K131" s="188"/>
    </row>
    <row r="132" s="187" customFormat="1" ht="12.75">
      <c r="K132" s="188"/>
    </row>
    <row r="133" spans="1:11" s="187" customFormat="1" ht="12.75">
      <c r="A133" s="186" t="s">
        <v>171</v>
      </c>
      <c r="K133" s="188"/>
    </row>
    <row r="134" s="187" customFormat="1" ht="12.75">
      <c r="K134" s="188"/>
    </row>
    <row r="135" s="187" customFormat="1" ht="12.75">
      <c r="K135" s="188"/>
    </row>
    <row r="136" s="187" customFormat="1" ht="12.75">
      <c r="K136" s="188"/>
    </row>
    <row r="137" s="187" customFormat="1" ht="12.75">
      <c r="K137" s="188"/>
    </row>
    <row r="138" s="187" customFormat="1" ht="12.75">
      <c r="K138" s="188"/>
    </row>
    <row r="139" s="187" customFormat="1" ht="12.75">
      <c r="K139" s="188"/>
    </row>
    <row r="140" s="187" customFormat="1" ht="12.75">
      <c r="K140" s="188"/>
    </row>
    <row r="141" s="187" customFormat="1" ht="12.75">
      <c r="K141" s="188"/>
    </row>
    <row r="142" s="187" customFormat="1" ht="12.75">
      <c r="K142" s="188"/>
    </row>
    <row r="143" s="187" customFormat="1" ht="12.75">
      <c r="K143" s="188"/>
    </row>
    <row r="144" s="187" customFormat="1" ht="12.75">
      <c r="K144" s="188"/>
    </row>
    <row r="145" s="187" customFormat="1" ht="12.75">
      <c r="K145" s="188"/>
    </row>
    <row r="146" s="187" customFormat="1" ht="12.75">
      <c r="K146" s="188"/>
    </row>
    <row r="147" s="187" customFormat="1" ht="12.75">
      <c r="K147" s="188"/>
    </row>
    <row r="148" s="187" customFormat="1" ht="12.75">
      <c r="K148" s="188"/>
    </row>
    <row r="149" s="187" customFormat="1" ht="12.75">
      <c r="K149" s="188"/>
    </row>
    <row r="150" s="187" customFormat="1" ht="12.75">
      <c r="K150" s="188"/>
    </row>
    <row r="151" s="187" customFormat="1" ht="12.75">
      <c r="K151" s="188"/>
    </row>
  </sheetData>
  <sheetProtection/>
  <mergeCells count="11">
    <mergeCell ref="A6:H6"/>
    <mergeCell ref="A7:H7"/>
    <mergeCell ref="A8:H8"/>
    <mergeCell ref="A9:H9"/>
    <mergeCell ref="A12:H12"/>
    <mergeCell ref="A131:F131"/>
    <mergeCell ref="A1:H1"/>
    <mergeCell ref="B2:H2"/>
    <mergeCell ref="B3:H3"/>
    <mergeCell ref="B4:H4"/>
    <mergeCell ref="A5:H5"/>
  </mergeCells>
  <printOptions horizontalCentered="1"/>
  <pageMargins left="0.2" right="0.2" top="0.1968503937007874" bottom="0.2" header="0.2" footer="0.2"/>
  <pageSetup fitToHeight="0" fitToWidth="1"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1"/>
  <sheetViews>
    <sheetView tabSelected="1" zoomScale="80" zoomScaleNormal="80" zoomScalePageLayoutView="0" workbookViewId="0" topLeftCell="A1">
      <pane xSplit="1" ySplit="2" topLeftCell="I6" activePane="bottomRight" state="frozen"/>
      <selection pane="topLeft" activeCell="A1" sqref="A1"/>
      <selection pane="topRight" activeCell="B1" sqref="B1"/>
      <selection pane="bottomLeft" activeCell="A2" sqref="A2"/>
      <selection pane="bottomRight" activeCell="N110" sqref="N110:N111"/>
    </sheetView>
  </sheetViews>
  <sheetFormatPr defaultColWidth="9.00390625" defaultRowHeight="12.75"/>
  <cols>
    <col min="1" max="1" width="72.75390625" style="3" customWidth="1"/>
    <col min="2" max="10" width="15.375" style="3" customWidth="1"/>
    <col min="11" max="11" width="16.625" style="3" customWidth="1"/>
    <col min="12" max="13" width="15.375" style="3" customWidth="1"/>
    <col min="14" max="14" width="14.125" style="3" customWidth="1"/>
    <col min="15" max="15" width="17.75390625" style="3" customWidth="1"/>
    <col min="16" max="16384" width="9.125" style="3" customWidth="1"/>
  </cols>
  <sheetData>
    <row r="1" spans="1:14" ht="61.5" customHeight="1" thickBot="1">
      <c r="A1" s="274" t="s">
        <v>172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</row>
    <row r="2" spans="1:15" s="5" customFormat="1" ht="80.25" customHeight="1" thickBot="1">
      <c r="A2" s="204" t="s">
        <v>0</v>
      </c>
      <c r="B2" s="278" t="s">
        <v>185</v>
      </c>
      <c r="C2" s="279"/>
      <c r="D2" s="280"/>
      <c r="E2" s="279" t="s">
        <v>186</v>
      </c>
      <c r="F2" s="279"/>
      <c r="G2" s="279"/>
      <c r="H2" s="278" t="s">
        <v>184</v>
      </c>
      <c r="I2" s="279"/>
      <c r="J2" s="280"/>
      <c r="K2" s="278" t="s">
        <v>187</v>
      </c>
      <c r="L2" s="279"/>
      <c r="M2" s="280"/>
      <c r="N2" s="48" t="s">
        <v>10</v>
      </c>
      <c r="O2" s="21" t="s">
        <v>5</v>
      </c>
    </row>
    <row r="3" spans="1:15" s="6" customFormat="1" ht="12.75">
      <c r="A3" s="41"/>
      <c r="B3" s="30" t="s">
        <v>7</v>
      </c>
      <c r="C3" s="14" t="s">
        <v>8</v>
      </c>
      <c r="D3" s="37" t="s">
        <v>9</v>
      </c>
      <c r="E3" s="47" t="s">
        <v>7</v>
      </c>
      <c r="F3" s="14" t="s">
        <v>8</v>
      </c>
      <c r="G3" s="19" t="s">
        <v>9</v>
      </c>
      <c r="H3" s="30" t="s">
        <v>7</v>
      </c>
      <c r="I3" s="14" t="s">
        <v>8</v>
      </c>
      <c r="J3" s="37" t="s">
        <v>9</v>
      </c>
      <c r="K3" s="30" t="s">
        <v>7</v>
      </c>
      <c r="L3" s="14" t="s">
        <v>8</v>
      </c>
      <c r="M3" s="37" t="s">
        <v>9</v>
      </c>
      <c r="N3" s="51"/>
      <c r="O3" s="22"/>
    </row>
    <row r="4" spans="1:15" s="6" customFormat="1" ht="49.5" customHeight="1">
      <c r="A4" s="258" t="s">
        <v>1</v>
      </c>
      <c r="B4" s="259"/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60"/>
    </row>
    <row r="5" spans="1:15" s="5" customFormat="1" ht="14.25" customHeight="1">
      <c r="A5" s="61" t="s">
        <v>30</v>
      </c>
      <c r="B5" s="31"/>
      <c r="C5" s="7"/>
      <c r="D5" s="62">
        <f>O5/4</f>
        <v>21926.88</v>
      </c>
      <c r="E5" s="48"/>
      <c r="F5" s="7"/>
      <c r="G5" s="62">
        <f>O5/4</f>
        <v>21926.88</v>
      </c>
      <c r="H5" s="31"/>
      <c r="I5" s="7"/>
      <c r="J5" s="62">
        <f>O5/4</f>
        <v>21926.88</v>
      </c>
      <c r="K5" s="31"/>
      <c r="L5" s="7"/>
      <c r="M5" s="62">
        <f>O5/4</f>
        <v>21926.88</v>
      </c>
      <c r="N5" s="53">
        <f>M5+J5+G5+D5</f>
        <v>87707.52</v>
      </c>
      <c r="O5" s="15">
        <v>87707.52</v>
      </c>
    </row>
    <row r="6" spans="1:15" s="5" customFormat="1" ht="30">
      <c r="A6" s="61" t="s">
        <v>31</v>
      </c>
      <c r="B6" s="31"/>
      <c r="C6" s="7"/>
      <c r="D6" s="62">
        <f aca="true" t="shared" si="0" ref="D6:D25">O6/4</f>
        <v>10539.27</v>
      </c>
      <c r="E6" s="48"/>
      <c r="F6" s="7"/>
      <c r="G6" s="62">
        <f aca="true" t="shared" si="1" ref="G6:G25">O6/4</f>
        <v>10539.27</v>
      </c>
      <c r="H6" s="31"/>
      <c r="I6" s="7"/>
      <c r="J6" s="62">
        <f aca="true" t="shared" si="2" ref="J6:J25">O6/4</f>
        <v>10539.27</v>
      </c>
      <c r="K6" s="31"/>
      <c r="L6" s="7"/>
      <c r="M6" s="62">
        <f aca="true" t="shared" si="3" ref="M6:M25">O6/4</f>
        <v>10539.27</v>
      </c>
      <c r="N6" s="53">
        <f aca="true" t="shared" si="4" ref="N6:N52">M6+J6+G6+D6</f>
        <v>42157.08</v>
      </c>
      <c r="O6" s="15">
        <v>42157.09</v>
      </c>
    </row>
    <row r="7" spans="1:15" s="5" customFormat="1" ht="15">
      <c r="A7" s="60" t="s">
        <v>32</v>
      </c>
      <c r="B7" s="31"/>
      <c r="C7" s="7"/>
      <c r="D7" s="62">
        <f t="shared" si="0"/>
        <v>5847.17</v>
      </c>
      <c r="E7" s="48"/>
      <c r="F7" s="7"/>
      <c r="G7" s="62">
        <f t="shared" si="1"/>
        <v>5847.17</v>
      </c>
      <c r="H7" s="31"/>
      <c r="I7" s="7"/>
      <c r="J7" s="62">
        <f t="shared" si="2"/>
        <v>5847.17</v>
      </c>
      <c r="K7" s="31"/>
      <c r="L7" s="7"/>
      <c r="M7" s="62">
        <f t="shared" si="3"/>
        <v>5847.17</v>
      </c>
      <c r="N7" s="53">
        <f t="shared" si="4"/>
        <v>23388.68</v>
      </c>
      <c r="O7" s="15">
        <v>23388.67</v>
      </c>
    </row>
    <row r="8" spans="1:15" s="5" customFormat="1" ht="15">
      <c r="A8" s="60" t="s">
        <v>33</v>
      </c>
      <c r="B8" s="31"/>
      <c r="C8" s="7"/>
      <c r="D8" s="62">
        <f t="shared" si="0"/>
        <v>19003.3</v>
      </c>
      <c r="E8" s="48"/>
      <c r="F8" s="7"/>
      <c r="G8" s="62">
        <f t="shared" si="1"/>
        <v>19003.3</v>
      </c>
      <c r="H8" s="31"/>
      <c r="I8" s="7"/>
      <c r="J8" s="62">
        <f t="shared" si="2"/>
        <v>19003.3</v>
      </c>
      <c r="K8" s="31"/>
      <c r="L8" s="7"/>
      <c r="M8" s="62">
        <f t="shared" si="3"/>
        <v>19003.3</v>
      </c>
      <c r="N8" s="53">
        <f t="shared" si="4"/>
        <v>76013.2</v>
      </c>
      <c r="O8" s="15">
        <v>76013.19</v>
      </c>
    </row>
    <row r="9" spans="1:15" s="5" customFormat="1" ht="15">
      <c r="A9" s="60" t="s">
        <v>56</v>
      </c>
      <c r="B9" s="31"/>
      <c r="C9" s="7"/>
      <c r="D9" s="62">
        <f t="shared" si="0"/>
        <v>9923.84</v>
      </c>
      <c r="E9" s="48"/>
      <c r="F9" s="7"/>
      <c r="G9" s="62">
        <f t="shared" si="1"/>
        <v>9923.84</v>
      </c>
      <c r="H9" s="31"/>
      <c r="I9" s="7"/>
      <c r="J9" s="62">
        <f t="shared" si="2"/>
        <v>9923.84</v>
      </c>
      <c r="K9" s="31"/>
      <c r="L9" s="7"/>
      <c r="M9" s="62">
        <f t="shared" si="3"/>
        <v>9923.84</v>
      </c>
      <c r="N9" s="53">
        <f t="shared" si="4"/>
        <v>39695.36</v>
      </c>
      <c r="O9" s="15">
        <v>39695.36</v>
      </c>
    </row>
    <row r="10" spans="1:15" s="5" customFormat="1" ht="45">
      <c r="A10" s="60" t="s">
        <v>57</v>
      </c>
      <c r="B10" s="31"/>
      <c r="C10" s="7"/>
      <c r="D10" s="62">
        <f t="shared" si="0"/>
        <v>0</v>
      </c>
      <c r="E10" s="48"/>
      <c r="F10" s="7"/>
      <c r="G10" s="62">
        <f t="shared" si="1"/>
        <v>0</v>
      </c>
      <c r="H10" s="31"/>
      <c r="I10" s="7"/>
      <c r="J10" s="62">
        <f t="shared" si="2"/>
        <v>0</v>
      </c>
      <c r="K10" s="31"/>
      <c r="L10" s="7"/>
      <c r="M10" s="62">
        <f t="shared" si="3"/>
        <v>0</v>
      </c>
      <c r="N10" s="53">
        <f t="shared" si="4"/>
        <v>0</v>
      </c>
      <c r="O10" s="15"/>
    </row>
    <row r="11" spans="1:15" s="5" customFormat="1" ht="25.5">
      <c r="A11" s="141" t="s">
        <v>215</v>
      </c>
      <c r="B11" s="31"/>
      <c r="C11" s="7"/>
      <c r="D11" s="62">
        <f t="shared" si="0"/>
        <v>0</v>
      </c>
      <c r="E11" s="48"/>
      <c r="F11" s="7"/>
      <c r="G11" s="62">
        <f t="shared" si="1"/>
        <v>0</v>
      </c>
      <c r="H11" s="200" t="s">
        <v>214</v>
      </c>
      <c r="I11" s="201" t="s">
        <v>216</v>
      </c>
      <c r="J11" s="202">
        <v>522.56</v>
      </c>
      <c r="K11" s="31"/>
      <c r="L11" s="7"/>
      <c r="M11" s="62">
        <f t="shared" si="3"/>
        <v>0</v>
      </c>
      <c r="N11" s="53">
        <f t="shared" si="4"/>
        <v>522.56</v>
      </c>
      <c r="O11" s="15"/>
    </row>
    <row r="12" spans="1:15" s="5" customFormat="1" ht="15">
      <c r="A12" s="141" t="s">
        <v>106</v>
      </c>
      <c r="B12" s="31"/>
      <c r="C12" s="7"/>
      <c r="D12" s="62">
        <f t="shared" si="0"/>
        <v>0</v>
      </c>
      <c r="E12" s="200" t="s">
        <v>197</v>
      </c>
      <c r="F12" s="201">
        <v>41547</v>
      </c>
      <c r="G12" s="202">
        <v>2254.91</v>
      </c>
      <c r="H12" s="31"/>
      <c r="I12" s="7"/>
      <c r="J12" s="62">
        <f t="shared" si="2"/>
        <v>0</v>
      </c>
      <c r="K12" s="31"/>
      <c r="L12" s="7"/>
      <c r="M12" s="62">
        <f t="shared" si="3"/>
        <v>0</v>
      </c>
      <c r="N12" s="53">
        <f t="shared" si="4"/>
        <v>2254.91</v>
      </c>
      <c r="O12" s="15"/>
    </row>
    <row r="13" spans="1:15" s="5" customFormat="1" ht="45">
      <c r="A13" s="60" t="s">
        <v>58</v>
      </c>
      <c r="B13" s="31"/>
      <c r="C13" s="7"/>
      <c r="D13" s="62">
        <f t="shared" si="0"/>
        <v>0</v>
      </c>
      <c r="E13" s="200" t="s">
        <v>212</v>
      </c>
      <c r="F13" s="201">
        <v>41565</v>
      </c>
      <c r="G13" s="202">
        <v>3325</v>
      </c>
      <c r="H13" s="31"/>
      <c r="I13" s="7"/>
      <c r="J13" s="62">
        <f t="shared" si="2"/>
        <v>0</v>
      </c>
      <c r="K13" s="31"/>
      <c r="L13" s="7"/>
      <c r="M13" s="62">
        <v>0</v>
      </c>
      <c r="N13" s="53">
        <f t="shared" si="4"/>
        <v>3325</v>
      </c>
      <c r="O13" s="15"/>
    </row>
    <row r="14" spans="1:15" s="5" customFormat="1" ht="15">
      <c r="A14" s="60" t="s">
        <v>59</v>
      </c>
      <c r="B14" s="31"/>
      <c r="C14" s="7"/>
      <c r="D14" s="62">
        <f t="shared" si="0"/>
        <v>11539.35</v>
      </c>
      <c r="E14" s="48"/>
      <c r="F14" s="7"/>
      <c r="G14" s="62">
        <f t="shared" si="1"/>
        <v>11539.35</v>
      </c>
      <c r="H14" s="31"/>
      <c r="I14" s="7"/>
      <c r="J14" s="62">
        <f t="shared" si="2"/>
        <v>11539.35</v>
      </c>
      <c r="K14" s="31"/>
      <c r="L14" s="7"/>
      <c r="M14" s="62">
        <f t="shared" si="3"/>
        <v>11539.35</v>
      </c>
      <c r="N14" s="53">
        <f t="shared" si="4"/>
        <v>46157.4</v>
      </c>
      <c r="O14" s="15">
        <v>46157.4</v>
      </c>
    </row>
    <row r="15" spans="1:15" s="5" customFormat="1" ht="15">
      <c r="A15" s="60" t="s">
        <v>60</v>
      </c>
      <c r="B15" s="31"/>
      <c r="C15" s="7"/>
      <c r="D15" s="62">
        <f t="shared" si="0"/>
        <v>24617.28</v>
      </c>
      <c r="E15" s="48"/>
      <c r="F15" s="7"/>
      <c r="G15" s="62">
        <f t="shared" si="1"/>
        <v>24617.28</v>
      </c>
      <c r="H15" s="31"/>
      <c r="I15" s="7"/>
      <c r="J15" s="62">
        <f t="shared" si="2"/>
        <v>24617.28</v>
      </c>
      <c r="K15" s="31"/>
      <c r="L15" s="7"/>
      <c r="M15" s="62">
        <f t="shared" si="3"/>
        <v>24617.28</v>
      </c>
      <c r="N15" s="53">
        <f t="shared" si="4"/>
        <v>98469.12</v>
      </c>
      <c r="O15" s="15">
        <v>98469.12</v>
      </c>
    </row>
    <row r="16" spans="1:15" s="5" customFormat="1" ht="30">
      <c r="A16" s="60" t="s">
        <v>34</v>
      </c>
      <c r="B16" s="31"/>
      <c r="C16" s="7"/>
      <c r="D16" s="62">
        <f t="shared" si="0"/>
        <v>433.43</v>
      </c>
      <c r="E16" s="48"/>
      <c r="F16" s="7"/>
      <c r="G16" s="62">
        <f t="shared" si="1"/>
        <v>433.43</v>
      </c>
      <c r="H16" s="31"/>
      <c r="I16" s="7"/>
      <c r="J16" s="62">
        <f t="shared" si="2"/>
        <v>433.43</v>
      </c>
      <c r="K16" s="31"/>
      <c r="L16" s="7"/>
      <c r="M16" s="62">
        <f t="shared" si="3"/>
        <v>433.43</v>
      </c>
      <c r="N16" s="53">
        <f t="shared" si="4"/>
        <v>1733.72</v>
      </c>
      <c r="O16" s="15">
        <v>1733.72</v>
      </c>
    </row>
    <row r="17" spans="1:15" s="5" customFormat="1" ht="30">
      <c r="A17" s="60" t="s">
        <v>35</v>
      </c>
      <c r="B17" s="31"/>
      <c r="C17" s="7"/>
      <c r="D17" s="62">
        <f t="shared" si="0"/>
        <v>433.43</v>
      </c>
      <c r="E17" s="48"/>
      <c r="F17" s="7"/>
      <c r="G17" s="62">
        <f t="shared" si="1"/>
        <v>433.43</v>
      </c>
      <c r="H17" s="31"/>
      <c r="I17" s="7"/>
      <c r="J17" s="62">
        <f t="shared" si="2"/>
        <v>433.43</v>
      </c>
      <c r="K17" s="31"/>
      <c r="L17" s="7"/>
      <c r="M17" s="62">
        <f t="shared" si="3"/>
        <v>433.43</v>
      </c>
      <c r="N17" s="53">
        <f t="shared" si="4"/>
        <v>1733.72</v>
      </c>
      <c r="O17" s="15">
        <v>1733.72</v>
      </c>
    </row>
    <row r="18" spans="1:15" s="5" customFormat="1" ht="15">
      <c r="A18" s="60" t="s">
        <v>36</v>
      </c>
      <c r="B18" s="31"/>
      <c r="C18" s="7"/>
      <c r="D18" s="62">
        <f t="shared" si="0"/>
        <v>2737.03</v>
      </c>
      <c r="E18" s="48"/>
      <c r="F18" s="7"/>
      <c r="G18" s="62">
        <f t="shared" si="1"/>
        <v>2737.03</v>
      </c>
      <c r="H18" s="31"/>
      <c r="I18" s="7"/>
      <c r="J18" s="62">
        <f t="shared" si="2"/>
        <v>2737.03</v>
      </c>
      <c r="K18" s="31"/>
      <c r="L18" s="7"/>
      <c r="M18" s="62">
        <f t="shared" si="3"/>
        <v>2737.03</v>
      </c>
      <c r="N18" s="53">
        <f t="shared" si="4"/>
        <v>10948.12</v>
      </c>
      <c r="O18" s="15">
        <v>10948.1</v>
      </c>
    </row>
    <row r="19" spans="1:15" s="228" customFormat="1" ht="30">
      <c r="A19" s="219" t="s">
        <v>120</v>
      </c>
      <c r="B19" s="220"/>
      <c r="C19" s="221"/>
      <c r="D19" s="222">
        <f t="shared" si="0"/>
        <v>0</v>
      </c>
      <c r="E19" s="223" t="s">
        <v>197</v>
      </c>
      <c r="F19" s="224">
        <v>41547</v>
      </c>
      <c r="G19" s="225">
        <v>3100.59</v>
      </c>
      <c r="H19" s="220"/>
      <c r="I19" s="221"/>
      <c r="J19" s="222">
        <f t="shared" si="2"/>
        <v>0</v>
      </c>
      <c r="K19" s="220"/>
      <c r="L19" s="221"/>
      <c r="M19" s="222">
        <f t="shared" si="3"/>
        <v>0</v>
      </c>
      <c r="N19" s="226">
        <f t="shared" si="4"/>
        <v>3100.59</v>
      </c>
      <c r="O19" s="227"/>
    </row>
    <row r="20" spans="1:15" s="228" customFormat="1" ht="15.75" customHeight="1">
      <c r="A20" s="219" t="s">
        <v>121</v>
      </c>
      <c r="B20" s="220"/>
      <c r="C20" s="221"/>
      <c r="D20" s="222">
        <f t="shared" si="0"/>
        <v>0</v>
      </c>
      <c r="E20" s="230"/>
      <c r="F20" s="221"/>
      <c r="G20" s="222">
        <f t="shared" si="1"/>
        <v>0</v>
      </c>
      <c r="H20" s="220"/>
      <c r="I20" s="221"/>
      <c r="J20" s="222">
        <f t="shared" si="2"/>
        <v>0</v>
      </c>
      <c r="K20" s="231">
        <v>81</v>
      </c>
      <c r="L20" s="232">
        <v>41741</v>
      </c>
      <c r="M20" s="222">
        <v>3100.59</v>
      </c>
      <c r="N20" s="226">
        <f t="shared" si="4"/>
        <v>3100.59</v>
      </c>
      <c r="O20" s="227"/>
    </row>
    <row r="21" spans="1:15" s="228" customFormat="1" ht="15">
      <c r="A21" s="219" t="s">
        <v>122</v>
      </c>
      <c r="B21" s="220"/>
      <c r="C21" s="221"/>
      <c r="D21" s="222">
        <f t="shared" si="0"/>
        <v>0</v>
      </c>
      <c r="E21" s="223" t="s">
        <v>197</v>
      </c>
      <c r="F21" s="224">
        <v>41547</v>
      </c>
      <c r="G21" s="225">
        <v>10948.11</v>
      </c>
      <c r="H21" s="220"/>
      <c r="I21" s="221"/>
      <c r="J21" s="222">
        <f t="shared" si="2"/>
        <v>0</v>
      </c>
      <c r="K21" s="220"/>
      <c r="L21" s="221"/>
      <c r="M21" s="222">
        <f t="shared" si="3"/>
        <v>0</v>
      </c>
      <c r="N21" s="226">
        <f t="shared" si="4"/>
        <v>10948.11</v>
      </c>
      <c r="O21" s="227"/>
    </row>
    <row r="22" spans="1:15" s="5" customFormat="1" ht="30">
      <c r="A22" s="60" t="s">
        <v>61</v>
      </c>
      <c r="B22" s="31"/>
      <c r="C22" s="7"/>
      <c r="D22" s="62">
        <f t="shared" si="0"/>
        <v>1384.72</v>
      </c>
      <c r="E22" s="48"/>
      <c r="F22" s="7"/>
      <c r="G22" s="62">
        <f t="shared" si="1"/>
        <v>1384.72</v>
      </c>
      <c r="H22" s="31"/>
      <c r="I22" s="7"/>
      <c r="J22" s="62">
        <f t="shared" si="2"/>
        <v>1384.72</v>
      </c>
      <c r="K22" s="31"/>
      <c r="L22" s="7"/>
      <c r="M22" s="62">
        <f t="shared" si="3"/>
        <v>1384.72</v>
      </c>
      <c r="N22" s="53">
        <f t="shared" si="4"/>
        <v>5538.88</v>
      </c>
      <c r="O22" s="15">
        <v>5538.89</v>
      </c>
    </row>
    <row r="23" spans="1:15" s="11" customFormat="1" ht="15">
      <c r="A23" s="60" t="s">
        <v>37</v>
      </c>
      <c r="B23" s="32"/>
      <c r="C23" s="28"/>
      <c r="D23" s="62">
        <f t="shared" si="0"/>
        <v>365.45</v>
      </c>
      <c r="E23" s="49"/>
      <c r="F23" s="28"/>
      <c r="G23" s="62">
        <f t="shared" si="1"/>
        <v>365.45</v>
      </c>
      <c r="H23" s="32"/>
      <c r="I23" s="28"/>
      <c r="J23" s="62">
        <f t="shared" si="2"/>
        <v>365.45</v>
      </c>
      <c r="K23" s="32"/>
      <c r="L23" s="28"/>
      <c r="M23" s="62">
        <f t="shared" si="3"/>
        <v>365.45</v>
      </c>
      <c r="N23" s="53">
        <f t="shared" si="4"/>
        <v>1461.8</v>
      </c>
      <c r="O23" s="15">
        <v>1461.79</v>
      </c>
    </row>
    <row r="24" spans="1:15" s="5" customFormat="1" ht="15">
      <c r="A24" s="60" t="s">
        <v>38</v>
      </c>
      <c r="B24" s="31"/>
      <c r="C24" s="7"/>
      <c r="D24" s="62">
        <f t="shared" si="0"/>
        <v>195.52</v>
      </c>
      <c r="E24" s="48"/>
      <c r="F24" s="7"/>
      <c r="G24" s="62">
        <f t="shared" si="1"/>
        <v>195.52</v>
      </c>
      <c r="H24" s="31"/>
      <c r="I24" s="7"/>
      <c r="J24" s="62">
        <f t="shared" si="2"/>
        <v>195.52</v>
      </c>
      <c r="K24" s="31"/>
      <c r="L24" s="7"/>
      <c r="M24" s="62">
        <f t="shared" si="3"/>
        <v>195.52</v>
      </c>
      <c r="N24" s="53">
        <f t="shared" si="4"/>
        <v>782.08</v>
      </c>
      <c r="O24" s="15">
        <v>782.06</v>
      </c>
    </row>
    <row r="25" spans="1:15" s="8" customFormat="1" ht="30">
      <c r="A25" s="59" t="s">
        <v>39</v>
      </c>
      <c r="B25" s="33"/>
      <c r="C25" s="29"/>
      <c r="D25" s="62">
        <f t="shared" si="0"/>
        <v>0</v>
      </c>
      <c r="E25" s="50"/>
      <c r="F25" s="29"/>
      <c r="G25" s="62">
        <f t="shared" si="1"/>
        <v>0</v>
      </c>
      <c r="H25" s="33"/>
      <c r="I25" s="29"/>
      <c r="J25" s="62">
        <f t="shared" si="2"/>
        <v>0</v>
      </c>
      <c r="K25" s="33"/>
      <c r="L25" s="29"/>
      <c r="M25" s="62">
        <f t="shared" si="3"/>
        <v>0</v>
      </c>
      <c r="N25" s="53">
        <f t="shared" si="4"/>
        <v>0</v>
      </c>
      <c r="O25" s="15"/>
    </row>
    <row r="26" spans="1:15" s="5" customFormat="1" ht="15">
      <c r="A26" s="60" t="s">
        <v>40</v>
      </c>
      <c r="B26" s="31"/>
      <c r="C26" s="7"/>
      <c r="D26" s="62"/>
      <c r="E26" s="48"/>
      <c r="F26" s="7"/>
      <c r="G26" s="17"/>
      <c r="H26" s="31"/>
      <c r="I26" s="7"/>
      <c r="J26" s="38"/>
      <c r="K26" s="31"/>
      <c r="L26" s="7"/>
      <c r="M26" s="38"/>
      <c r="N26" s="53">
        <f t="shared" si="4"/>
        <v>0</v>
      </c>
      <c r="O26" s="15"/>
    </row>
    <row r="27" spans="1:15" s="5" customFormat="1" ht="15">
      <c r="A27" s="13" t="s">
        <v>41</v>
      </c>
      <c r="B27" s="200" t="s">
        <v>175</v>
      </c>
      <c r="C27" s="201">
        <v>41402</v>
      </c>
      <c r="D27" s="202">
        <v>184.33</v>
      </c>
      <c r="E27" s="200" t="s">
        <v>188</v>
      </c>
      <c r="F27" s="201">
        <v>41509</v>
      </c>
      <c r="G27" s="202">
        <v>184.33</v>
      </c>
      <c r="H27" s="31"/>
      <c r="I27" s="7"/>
      <c r="J27" s="38"/>
      <c r="K27" s="200" t="s">
        <v>241</v>
      </c>
      <c r="L27" s="201">
        <v>41759</v>
      </c>
      <c r="M27" s="202">
        <v>184.33</v>
      </c>
      <c r="N27" s="53">
        <f t="shared" si="4"/>
        <v>552.99</v>
      </c>
      <c r="O27" s="15"/>
    </row>
    <row r="28" spans="1:15" s="5" customFormat="1" ht="15">
      <c r="A28" s="264" t="s">
        <v>42</v>
      </c>
      <c r="B28" s="200" t="s">
        <v>177</v>
      </c>
      <c r="C28" s="201">
        <v>41411</v>
      </c>
      <c r="D28" s="202">
        <v>195.03</v>
      </c>
      <c r="E28" s="200" t="s">
        <v>191</v>
      </c>
      <c r="F28" s="201">
        <v>41537</v>
      </c>
      <c r="G28" s="202">
        <v>195.04</v>
      </c>
      <c r="H28" s="31"/>
      <c r="I28" s="7"/>
      <c r="J28" s="38"/>
      <c r="K28" s="31"/>
      <c r="L28" s="7"/>
      <c r="M28" s="38"/>
      <c r="N28" s="53">
        <f t="shared" si="4"/>
        <v>390.07</v>
      </c>
      <c r="O28" s="15"/>
    </row>
    <row r="29" spans="1:15" s="5" customFormat="1" ht="15">
      <c r="A29" s="265"/>
      <c r="B29" s="200" t="s">
        <v>182</v>
      </c>
      <c r="C29" s="201">
        <v>41481</v>
      </c>
      <c r="D29" s="202">
        <v>390.06</v>
      </c>
      <c r="E29" s="48"/>
      <c r="F29" s="7"/>
      <c r="G29" s="17"/>
      <c r="H29" s="31"/>
      <c r="I29" s="7"/>
      <c r="J29" s="38"/>
      <c r="K29" s="31"/>
      <c r="L29" s="7"/>
      <c r="M29" s="38"/>
      <c r="N29" s="53">
        <f t="shared" si="4"/>
        <v>390.06</v>
      </c>
      <c r="O29" s="15"/>
    </row>
    <row r="30" spans="1:15" s="5" customFormat="1" ht="15">
      <c r="A30" s="147" t="s">
        <v>126</v>
      </c>
      <c r="B30" s="31"/>
      <c r="C30" s="7"/>
      <c r="D30" s="62"/>
      <c r="E30" s="48"/>
      <c r="F30" s="7"/>
      <c r="G30" s="17"/>
      <c r="H30" s="31"/>
      <c r="I30" s="7"/>
      <c r="J30" s="38"/>
      <c r="K30" s="31"/>
      <c r="L30" s="7"/>
      <c r="M30" s="38"/>
      <c r="N30" s="53">
        <f t="shared" si="4"/>
        <v>0</v>
      </c>
      <c r="O30" s="15"/>
    </row>
    <row r="31" spans="1:15" s="5" customFormat="1" ht="15">
      <c r="A31" s="13" t="s">
        <v>43</v>
      </c>
      <c r="B31" s="34">
        <v>151</v>
      </c>
      <c r="C31" s="203">
        <v>41486</v>
      </c>
      <c r="D31" s="202">
        <v>743.35</v>
      </c>
      <c r="E31" s="48"/>
      <c r="F31" s="7"/>
      <c r="G31" s="17"/>
      <c r="H31" s="31"/>
      <c r="I31" s="7"/>
      <c r="J31" s="38"/>
      <c r="K31" s="31"/>
      <c r="L31" s="7"/>
      <c r="M31" s="38"/>
      <c r="N31" s="53">
        <f t="shared" si="4"/>
        <v>743.35</v>
      </c>
      <c r="O31" s="15"/>
    </row>
    <row r="32" spans="1:15" s="5" customFormat="1" ht="15">
      <c r="A32" s="13" t="s">
        <v>44</v>
      </c>
      <c r="B32" s="200" t="s">
        <v>182</v>
      </c>
      <c r="C32" s="201">
        <v>41481</v>
      </c>
      <c r="D32" s="202">
        <v>3314.05</v>
      </c>
      <c r="E32" s="48"/>
      <c r="F32" s="7"/>
      <c r="G32" s="17"/>
      <c r="H32" s="31"/>
      <c r="I32" s="7"/>
      <c r="J32" s="38"/>
      <c r="K32" s="31"/>
      <c r="L32" s="7"/>
      <c r="M32" s="38"/>
      <c r="N32" s="53">
        <f t="shared" si="4"/>
        <v>3314.05</v>
      </c>
      <c r="O32" s="15"/>
    </row>
    <row r="33" spans="1:15" s="5" customFormat="1" ht="15">
      <c r="A33" s="13" t="s">
        <v>45</v>
      </c>
      <c r="B33" s="200" t="s">
        <v>182</v>
      </c>
      <c r="C33" s="201">
        <v>41481</v>
      </c>
      <c r="D33" s="202">
        <v>780.14</v>
      </c>
      <c r="E33" s="48"/>
      <c r="F33" s="7"/>
      <c r="G33" s="17"/>
      <c r="H33" s="31"/>
      <c r="I33" s="7"/>
      <c r="J33" s="38"/>
      <c r="K33" s="31"/>
      <c r="L33" s="7"/>
      <c r="M33" s="38"/>
      <c r="N33" s="53">
        <f t="shared" si="4"/>
        <v>780.14</v>
      </c>
      <c r="O33" s="15"/>
    </row>
    <row r="34" spans="1:15" s="5" customFormat="1" ht="15">
      <c r="A34" s="13" t="s">
        <v>46</v>
      </c>
      <c r="B34" s="34">
        <v>151</v>
      </c>
      <c r="C34" s="203">
        <v>41486</v>
      </c>
      <c r="D34" s="202">
        <v>371.66</v>
      </c>
      <c r="E34" s="48"/>
      <c r="F34" s="7"/>
      <c r="G34" s="17"/>
      <c r="H34" s="31"/>
      <c r="I34" s="7"/>
      <c r="J34" s="38"/>
      <c r="K34" s="31"/>
      <c r="L34" s="7"/>
      <c r="M34" s="38"/>
      <c r="N34" s="53">
        <f t="shared" si="4"/>
        <v>371.66</v>
      </c>
      <c r="O34" s="15"/>
    </row>
    <row r="35" spans="1:15" s="5" customFormat="1" ht="15">
      <c r="A35" s="13" t="s">
        <v>47</v>
      </c>
      <c r="B35" s="31"/>
      <c r="C35" s="7"/>
      <c r="D35" s="62"/>
      <c r="E35" s="48"/>
      <c r="F35" s="7"/>
      <c r="G35" s="17"/>
      <c r="H35" s="31"/>
      <c r="I35" s="7"/>
      <c r="J35" s="38"/>
      <c r="K35" s="31"/>
      <c r="L35" s="7"/>
      <c r="M35" s="38"/>
      <c r="N35" s="53">
        <f t="shared" si="4"/>
        <v>0</v>
      </c>
      <c r="O35" s="15"/>
    </row>
    <row r="36" spans="1:15" s="6" customFormat="1" ht="25.5">
      <c r="A36" s="13" t="s">
        <v>48</v>
      </c>
      <c r="B36" s="200" t="s">
        <v>182</v>
      </c>
      <c r="C36" s="201">
        <v>41481</v>
      </c>
      <c r="D36" s="202">
        <v>2454.73</v>
      </c>
      <c r="E36" s="51"/>
      <c r="F36" s="9"/>
      <c r="G36" s="18"/>
      <c r="H36" s="34"/>
      <c r="I36" s="9"/>
      <c r="J36" s="39"/>
      <c r="K36" s="34"/>
      <c r="L36" s="9"/>
      <c r="M36" s="39"/>
      <c r="N36" s="53">
        <f t="shared" si="4"/>
        <v>2454.73</v>
      </c>
      <c r="O36" s="15"/>
    </row>
    <row r="37" spans="1:15" s="6" customFormat="1" ht="15">
      <c r="A37" s="13" t="s">
        <v>49</v>
      </c>
      <c r="B37" s="34"/>
      <c r="C37" s="9"/>
      <c r="D37" s="62"/>
      <c r="E37" s="200" t="s">
        <v>193</v>
      </c>
      <c r="F37" s="201">
        <v>41544</v>
      </c>
      <c r="G37" s="202">
        <v>2617.3</v>
      </c>
      <c r="H37" s="34"/>
      <c r="I37" s="9"/>
      <c r="J37" s="39"/>
      <c r="K37" s="34"/>
      <c r="L37" s="9"/>
      <c r="M37" s="39"/>
      <c r="N37" s="53">
        <f t="shared" si="4"/>
        <v>2617.3</v>
      </c>
      <c r="O37" s="15"/>
    </row>
    <row r="38" spans="1:15" s="6" customFormat="1" ht="30">
      <c r="A38" s="59" t="s">
        <v>127</v>
      </c>
      <c r="B38" s="34"/>
      <c r="C38" s="9"/>
      <c r="D38" s="62"/>
      <c r="E38" s="51"/>
      <c r="F38" s="9"/>
      <c r="G38" s="18"/>
      <c r="H38" s="34"/>
      <c r="I38" s="9"/>
      <c r="J38" s="39"/>
      <c r="K38" s="34"/>
      <c r="L38" s="9"/>
      <c r="M38" s="39"/>
      <c r="N38" s="53">
        <f t="shared" si="4"/>
        <v>0</v>
      </c>
      <c r="O38" s="15"/>
    </row>
    <row r="39" spans="1:15" s="6" customFormat="1" ht="27.75" customHeight="1">
      <c r="A39" s="147" t="s">
        <v>129</v>
      </c>
      <c r="B39" s="34"/>
      <c r="C39" s="9"/>
      <c r="D39" s="62"/>
      <c r="E39" s="200" t="s">
        <v>190</v>
      </c>
      <c r="F39" s="201">
        <v>41516</v>
      </c>
      <c r="G39" s="202">
        <v>371.67</v>
      </c>
      <c r="H39" s="34"/>
      <c r="I39" s="9"/>
      <c r="J39" s="39"/>
      <c r="K39" s="34"/>
      <c r="L39" s="9"/>
      <c r="M39" s="39"/>
      <c r="N39" s="53">
        <f t="shared" si="4"/>
        <v>371.67</v>
      </c>
      <c r="O39" s="15"/>
    </row>
    <row r="40" spans="1:15" s="6" customFormat="1" ht="15">
      <c r="A40" s="147" t="s">
        <v>136</v>
      </c>
      <c r="B40" s="34"/>
      <c r="C40" s="9"/>
      <c r="D40" s="62">
        <f>O40/4</f>
        <v>1321.92</v>
      </c>
      <c r="E40" s="51"/>
      <c r="F40" s="9"/>
      <c r="G40" s="62">
        <f>O40/4</f>
        <v>1321.92</v>
      </c>
      <c r="H40" s="34"/>
      <c r="I40" s="9"/>
      <c r="J40" s="62">
        <f>O40/4</f>
        <v>1321.92</v>
      </c>
      <c r="K40" s="34"/>
      <c r="L40" s="9"/>
      <c r="M40" s="62">
        <f>O40/4</f>
        <v>1321.92</v>
      </c>
      <c r="N40" s="53">
        <f t="shared" si="4"/>
        <v>5287.68</v>
      </c>
      <c r="O40" s="15">
        <v>5287.68</v>
      </c>
    </row>
    <row r="41" spans="1:15" s="6" customFormat="1" ht="15">
      <c r="A41" s="60" t="s">
        <v>50</v>
      </c>
      <c r="B41" s="34"/>
      <c r="C41" s="9"/>
      <c r="D41" s="62"/>
      <c r="E41" s="51"/>
      <c r="F41" s="9"/>
      <c r="G41" s="62"/>
      <c r="H41" s="34"/>
      <c r="I41" s="9"/>
      <c r="J41" s="62"/>
      <c r="K41" s="34"/>
      <c r="L41" s="9"/>
      <c r="M41" s="62"/>
      <c r="N41" s="53">
        <f t="shared" si="4"/>
        <v>0</v>
      </c>
      <c r="O41" s="15"/>
    </row>
    <row r="42" spans="1:15" s="6" customFormat="1" ht="15">
      <c r="A42" s="13" t="s">
        <v>51</v>
      </c>
      <c r="B42" s="34"/>
      <c r="C42" s="9"/>
      <c r="D42" s="62"/>
      <c r="E42" s="200" t="s">
        <v>192</v>
      </c>
      <c r="F42" s="201">
        <v>41544</v>
      </c>
      <c r="G42" s="202">
        <v>5352.86</v>
      </c>
      <c r="H42" s="34"/>
      <c r="I42" s="9"/>
      <c r="J42" s="62"/>
      <c r="K42" s="34"/>
      <c r="L42" s="9"/>
      <c r="M42" s="62"/>
      <c r="N42" s="53">
        <f t="shared" si="4"/>
        <v>5352.86</v>
      </c>
      <c r="O42" s="15"/>
    </row>
    <row r="43" spans="1:15" s="6" customFormat="1" ht="15">
      <c r="A43" s="13" t="s">
        <v>52</v>
      </c>
      <c r="B43" s="34"/>
      <c r="C43" s="9"/>
      <c r="D43" s="62"/>
      <c r="E43" s="200" t="s">
        <v>195</v>
      </c>
      <c r="F43" s="201">
        <v>41558</v>
      </c>
      <c r="G43" s="202">
        <v>777.03</v>
      </c>
      <c r="H43" s="34"/>
      <c r="I43" s="9"/>
      <c r="J43" s="62"/>
      <c r="K43" s="34"/>
      <c r="L43" s="9"/>
      <c r="M43" s="62"/>
      <c r="N43" s="53">
        <f t="shared" si="4"/>
        <v>777.03</v>
      </c>
      <c r="O43" s="15"/>
    </row>
    <row r="44" spans="1:15" s="6" customFormat="1" ht="15">
      <c r="A44" s="59" t="s">
        <v>144</v>
      </c>
      <c r="B44" s="51"/>
      <c r="C44" s="9"/>
      <c r="D44" s="62"/>
      <c r="E44" s="51"/>
      <c r="F44" s="9"/>
      <c r="G44" s="62"/>
      <c r="H44" s="51"/>
      <c r="I44" s="9"/>
      <c r="J44" s="62"/>
      <c r="K44" s="51"/>
      <c r="L44" s="9"/>
      <c r="M44" s="62"/>
      <c r="N44" s="53">
        <f t="shared" si="4"/>
        <v>0</v>
      </c>
      <c r="O44" s="15"/>
    </row>
    <row r="45" spans="1:15" s="6" customFormat="1" ht="25.5">
      <c r="A45" s="147" t="s">
        <v>145</v>
      </c>
      <c r="B45" s="51"/>
      <c r="C45" s="9"/>
      <c r="D45" s="62"/>
      <c r="E45" s="51"/>
      <c r="F45" s="9"/>
      <c r="G45" s="62"/>
      <c r="H45" s="200" t="s">
        <v>214</v>
      </c>
      <c r="I45" s="201" t="s">
        <v>219</v>
      </c>
      <c r="J45" s="202">
        <v>784.99</v>
      </c>
      <c r="K45" s="51"/>
      <c r="L45" s="9"/>
      <c r="M45" s="62"/>
      <c r="N45" s="53">
        <f t="shared" si="4"/>
        <v>784.99</v>
      </c>
      <c r="O45" s="15"/>
    </row>
    <row r="46" spans="1:15" s="6" customFormat="1" ht="15">
      <c r="A46" s="59" t="s">
        <v>146</v>
      </c>
      <c r="B46" s="51"/>
      <c r="C46" s="9"/>
      <c r="D46" s="62"/>
      <c r="E46" s="51"/>
      <c r="F46" s="9"/>
      <c r="G46" s="62"/>
      <c r="H46" s="51"/>
      <c r="I46" s="9"/>
      <c r="J46" s="62"/>
      <c r="K46" s="51"/>
      <c r="L46" s="9"/>
      <c r="M46" s="62"/>
      <c r="N46" s="53">
        <f t="shared" si="4"/>
        <v>0</v>
      </c>
      <c r="O46" s="15"/>
    </row>
    <row r="47" spans="1:15" s="6" customFormat="1" ht="15">
      <c r="A47" s="147" t="s">
        <v>147</v>
      </c>
      <c r="B47" s="51"/>
      <c r="C47" s="9"/>
      <c r="D47" s="62"/>
      <c r="E47" s="51"/>
      <c r="F47" s="9"/>
      <c r="G47" s="62"/>
      <c r="H47" s="51"/>
      <c r="I47" s="9"/>
      <c r="J47" s="62"/>
      <c r="K47" s="51"/>
      <c r="L47" s="9"/>
      <c r="M47" s="62"/>
      <c r="N47" s="53">
        <f t="shared" si="4"/>
        <v>0</v>
      </c>
      <c r="O47" s="15"/>
    </row>
    <row r="48" spans="1:15" s="6" customFormat="1" ht="15">
      <c r="A48" s="59" t="s">
        <v>148</v>
      </c>
      <c r="B48" s="51"/>
      <c r="C48" s="9"/>
      <c r="D48" s="62"/>
      <c r="E48" s="51"/>
      <c r="F48" s="9"/>
      <c r="G48" s="62"/>
      <c r="H48" s="51"/>
      <c r="I48" s="9"/>
      <c r="J48" s="62"/>
      <c r="K48" s="51"/>
      <c r="L48" s="9"/>
      <c r="M48" s="62"/>
      <c r="N48" s="53">
        <f t="shared" si="4"/>
        <v>0</v>
      </c>
      <c r="O48" s="15"/>
    </row>
    <row r="49" spans="1:15" s="6" customFormat="1" ht="15">
      <c r="A49" s="147" t="s">
        <v>149</v>
      </c>
      <c r="B49" s="51"/>
      <c r="C49" s="9"/>
      <c r="D49" s="62"/>
      <c r="E49" s="51"/>
      <c r="F49" s="9"/>
      <c r="G49" s="62"/>
      <c r="H49" s="51"/>
      <c r="I49" s="9"/>
      <c r="J49" s="62"/>
      <c r="K49" s="51"/>
      <c r="L49" s="9"/>
      <c r="M49" s="62"/>
      <c r="N49" s="53">
        <f t="shared" si="4"/>
        <v>0</v>
      </c>
      <c r="O49" s="15"/>
    </row>
    <row r="50" spans="1:15" s="6" customFormat="1" ht="15.75" thickBot="1">
      <c r="A50" s="147" t="s">
        <v>162</v>
      </c>
      <c r="B50" s="51"/>
      <c r="C50" s="9"/>
      <c r="D50" s="62"/>
      <c r="E50" s="51"/>
      <c r="F50" s="9"/>
      <c r="G50" s="62"/>
      <c r="H50" s="51"/>
      <c r="I50" s="9"/>
      <c r="J50" s="62"/>
      <c r="K50" s="51"/>
      <c r="L50" s="9"/>
      <c r="M50" s="62"/>
      <c r="N50" s="53">
        <f t="shared" si="4"/>
        <v>0</v>
      </c>
      <c r="O50" s="15"/>
    </row>
    <row r="51" spans="1:15" s="6" customFormat="1" ht="19.5" thickBot="1">
      <c r="A51" s="4" t="s">
        <v>53</v>
      </c>
      <c r="B51" s="9"/>
      <c r="C51" s="9"/>
      <c r="D51" s="62">
        <f>O51/4</f>
        <v>8824.63</v>
      </c>
      <c r="E51" s="9"/>
      <c r="F51" s="9"/>
      <c r="G51" s="62">
        <f>O51/4</f>
        <v>8824.63</v>
      </c>
      <c r="H51" s="9"/>
      <c r="I51" s="9"/>
      <c r="J51" s="62">
        <f>O51/4</f>
        <v>8824.63</v>
      </c>
      <c r="K51" s="9"/>
      <c r="L51" s="9"/>
      <c r="M51" s="62">
        <f>O51/4</f>
        <v>8824.63</v>
      </c>
      <c r="N51" s="53">
        <f t="shared" si="4"/>
        <v>35298.52</v>
      </c>
      <c r="O51" s="94">
        <v>35298.5</v>
      </c>
    </row>
    <row r="52" spans="1:15" s="5" customFormat="1" ht="20.25" thickBot="1">
      <c r="A52" s="44" t="s">
        <v>4</v>
      </c>
      <c r="B52" s="95"/>
      <c r="C52" s="96"/>
      <c r="D52" s="24">
        <f>SUM(D5:D51)</f>
        <v>127526.57</v>
      </c>
      <c r="E52" s="97"/>
      <c r="F52" s="96"/>
      <c r="G52" s="24">
        <f>SUM(G5:G51)</f>
        <v>148220.06</v>
      </c>
      <c r="H52" s="98"/>
      <c r="I52" s="96"/>
      <c r="J52" s="24">
        <f>SUM(J5:J51)</f>
        <v>120400.77</v>
      </c>
      <c r="K52" s="98"/>
      <c r="L52" s="96"/>
      <c r="M52" s="24">
        <f>SUM(M5:M51)</f>
        <v>122378.14</v>
      </c>
      <c r="N52" s="53">
        <f t="shared" si="4"/>
        <v>518525.54</v>
      </c>
      <c r="O52" s="24">
        <f>SUM(O5:O43)</f>
        <v>441074.31</v>
      </c>
    </row>
    <row r="53" spans="1:15" s="10" customFormat="1" ht="20.25" hidden="1" thickBot="1">
      <c r="A53" s="45" t="s">
        <v>2</v>
      </c>
      <c r="B53" s="75"/>
      <c r="C53" s="76"/>
      <c r="D53" s="77"/>
      <c r="E53" s="78"/>
      <c r="F53" s="76"/>
      <c r="G53" s="79"/>
      <c r="H53" s="75"/>
      <c r="I53" s="76"/>
      <c r="J53" s="77"/>
      <c r="K53" s="75"/>
      <c r="L53" s="76"/>
      <c r="M53" s="77"/>
      <c r="N53" s="52"/>
      <c r="O53" s="25"/>
    </row>
    <row r="54" spans="1:15" s="12" customFormat="1" ht="39.75" customHeight="1" thickBot="1">
      <c r="A54" s="261" t="s">
        <v>3</v>
      </c>
      <c r="B54" s="262"/>
      <c r="C54" s="262"/>
      <c r="D54" s="262"/>
      <c r="E54" s="262"/>
      <c r="F54" s="262"/>
      <c r="G54" s="262"/>
      <c r="H54" s="262"/>
      <c r="I54" s="262"/>
      <c r="J54" s="262"/>
      <c r="K54" s="262"/>
      <c r="L54" s="262"/>
      <c r="M54" s="262"/>
      <c r="N54" s="263"/>
      <c r="O54" s="26"/>
    </row>
    <row r="55" spans="1:15" s="6" customFormat="1" ht="17.25" customHeight="1">
      <c r="A55" s="215" t="s">
        <v>233</v>
      </c>
      <c r="B55" s="34"/>
      <c r="C55" s="9"/>
      <c r="D55" s="39"/>
      <c r="E55" s="51"/>
      <c r="F55" s="9"/>
      <c r="G55" s="18"/>
      <c r="H55" s="34"/>
      <c r="I55" s="9"/>
      <c r="J55" s="39"/>
      <c r="K55" s="268" t="s">
        <v>232</v>
      </c>
      <c r="L55" s="270">
        <v>41698</v>
      </c>
      <c r="M55" s="272">
        <v>39386.98</v>
      </c>
      <c r="N55" s="53">
        <f aca="true" t="shared" si="5" ref="N55:N61">M55+J55+G55+D55</f>
        <v>39386.98</v>
      </c>
      <c r="O55" s="63"/>
    </row>
    <row r="56" spans="1:15" s="6" customFormat="1" ht="17.25" customHeight="1">
      <c r="A56" s="215" t="s">
        <v>166</v>
      </c>
      <c r="B56" s="66"/>
      <c r="C56" s="74"/>
      <c r="D56" s="39"/>
      <c r="E56" s="66"/>
      <c r="F56" s="74"/>
      <c r="G56" s="39"/>
      <c r="H56" s="51"/>
      <c r="I56" s="74"/>
      <c r="J56" s="39"/>
      <c r="K56" s="269"/>
      <c r="L56" s="271"/>
      <c r="M56" s="273"/>
      <c r="N56" s="53">
        <f t="shared" si="5"/>
        <v>0</v>
      </c>
      <c r="O56" s="63"/>
    </row>
    <row r="57" spans="1:15" s="6" customFormat="1" ht="15">
      <c r="A57" s="147" t="s">
        <v>167</v>
      </c>
      <c r="B57" s="66"/>
      <c r="C57" s="74"/>
      <c r="D57" s="39"/>
      <c r="E57" s="66"/>
      <c r="F57" s="74"/>
      <c r="G57" s="39"/>
      <c r="H57" s="51"/>
      <c r="I57" s="74"/>
      <c r="J57" s="39"/>
      <c r="K57" s="51"/>
      <c r="L57" s="74"/>
      <c r="M57" s="39"/>
      <c r="N57" s="53">
        <f t="shared" si="5"/>
        <v>0</v>
      </c>
      <c r="O57" s="63"/>
    </row>
    <row r="58" spans="1:15" s="6" customFormat="1" ht="15">
      <c r="A58" s="216" t="s">
        <v>168</v>
      </c>
      <c r="B58" s="66"/>
      <c r="C58" s="74"/>
      <c r="D58" s="39"/>
      <c r="E58" s="66"/>
      <c r="F58" s="74"/>
      <c r="G58" s="39"/>
      <c r="H58" s="51"/>
      <c r="I58" s="74"/>
      <c r="J58" s="39"/>
      <c r="K58" s="51">
        <v>922</v>
      </c>
      <c r="L58" s="218">
        <v>41744</v>
      </c>
      <c r="M58" s="38">
        <v>65197.96</v>
      </c>
      <c r="N58" s="53">
        <f t="shared" si="5"/>
        <v>65197.96</v>
      </c>
      <c r="O58" s="63"/>
    </row>
    <row r="59" spans="1:15" s="6" customFormat="1" ht="15">
      <c r="A59" s="217"/>
      <c r="B59" s="66"/>
      <c r="C59" s="74"/>
      <c r="D59" s="39"/>
      <c r="E59" s="66"/>
      <c r="F59" s="74"/>
      <c r="G59" s="18"/>
      <c r="H59" s="66"/>
      <c r="I59" s="74"/>
      <c r="J59" s="54"/>
      <c r="K59" s="51">
        <v>405</v>
      </c>
      <c r="L59" s="218">
        <v>41722</v>
      </c>
      <c r="M59" s="38">
        <v>22837</v>
      </c>
      <c r="N59" s="53">
        <f t="shared" si="5"/>
        <v>22837</v>
      </c>
      <c r="O59" s="63"/>
    </row>
    <row r="60" spans="1:15" s="6" customFormat="1" ht="26.25" customHeight="1" thickBot="1">
      <c r="A60" s="215" t="s">
        <v>217</v>
      </c>
      <c r="B60" s="66"/>
      <c r="C60" s="74"/>
      <c r="D60" s="39"/>
      <c r="E60" s="66"/>
      <c r="F60" s="74"/>
      <c r="G60" s="18"/>
      <c r="H60" s="200" t="s">
        <v>214</v>
      </c>
      <c r="I60" s="201" t="s">
        <v>218</v>
      </c>
      <c r="J60" s="202">
        <v>67345.95</v>
      </c>
      <c r="K60" s="51"/>
      <c r="L60" s="74"/>
      <c r="M60" s="39"/>
      <c r="N60" s="53">
        <f t="shared" si="5"/>
        <v>67345.95</v>
      </c>
      <c r="O60" s="63"/>
    </row>
    <row r="61" spans="1:15" s="85" customFormat="1" ht="20.25" thickBot="1">
      <c r="A61" s="80" t="s">
        <v>4</v>
      </c>
      <c r="B61" s="81"/>
      <c r="C61" s="92"/>
      <c r="D61" s="92">
        <f>SUM(D55:D60)</f>
        <v>0</v>
      </c>
      <c r="E61" s="92"/>
      <c r="F61" s="92"/>
      <c r="G61" s="92">
        <f>SUM(G55:G60)</f>
        <v>0</v>
      </c>
      <c r="H61" s="92"/>
      <c r="I61" s="92"/>
      <c r="J61" s="92">
        <f>SUM(J55:J60)</f>
        <v>67345.95</v>
      </c>
      <c r="K61" s="92"/>
      <c r="L61" s="92"/>
      <c r="M61" s="92">
        <f>SUM(M55:M60)</f>
        <v>127421.94</v>
      </c>
      <c r="N61" s="53">
        <f t="shared" si="5"/>
        <v>194767.89</v>
      </c>
      <c r="O61" s="84">
        <f>M61+J61+G61+D61</f>
        <v>194767.89</v>
      </c>
    </row>
    <row r="62" spans="1:15" s="6" customFormat="1" ht="42" customHeight="1">
      <c r="A62" s="261" t="s">
        <v>28</v>
      </c>
      <c r="B62" s="262"/>
      <c r="C62" s="262"/>
      <c r="D62" s="262"/>
      <c r="E62" s="262"/>
      <c r="F62" s="262"/>
      <c r="G62" s="262"/>
      <c r="H62" s="262"/>
      <c r="I62" s="262"/>
      <c r="J62" s="262"/>
      <c r="K62" s="262"/>
      <c r="L62" s="262"/>
      <c r="M62" s="262"/>
      <c r="N62" s="263"/>
      <c r="O62" s="16"/>
    </row>
    <row r="63" spans="1:15" s="6" customFormat="1" ht="15">
      <c r="A63" s="42" t="s">
        <v>174</v>
      </c>
      <c r="B63" s="200" t="s">
        <v>173</v>
      </c>
      <c r="C63" s="201">
        <v>41453</v>
      </c>
      <c r="D63" s="202">
        <v>620.05</v>
      </c>
      <c r="E63" s="23"/>
      <c r="F63" s="1"/>
      <c r="G63" s="16"/>
      <c r="H63" s="35"/>
      <c r="I63" s="1"/>
      <c r="J63" s="40"/>
      <c r="K63" s="35"/>
      <c r="L63" s="1"/>
      <c r="M63" s="40"/>
      <c r="N63" s="51"/>
      <c r="O63" s="23"/>
    </row>
    <row r="64" spans="1:15" s="6" customFormat="1" ht="15">
      <c r="A64" s="42" t="s">
        <v>176</v>
      </c>
      <c r="B64" s="200" t="s">
        <v>175</v>
      </c>
      <c r="C64" s="201">
        <v>41402</v>
      </c>
      <c r="D64" s="202">
        <v>668.41</v>
      </c>
      <c r="E64" s="51"/>
      <c r="F64" s="9"/>
      <c r="G64" s="18"/>
      <c r="H64" s="34"/>
      <c r="I64" s="9"/>
      <c r="J64" s="39"/>
      <c r="K64" s="34">
        <v>50</v>
      </c>
      <c r="L64" s="203">
        <v>41759</v>
      </c>
      <c r="M64" s="38">
        <v>688.69</v>
      </c>
      <c r="N64" s="51"/>
      <c r="O64" s="23"/>
    </row>
    <row r="65" spans="1:15" s="6" customFormat="1" ht="15">
      <c r="A65" s="42" t="s">
        <v>179</v>
      </c>
      <c r="B65" s="200" t="s">
        <v>178</v>
      </c>
      <c r="C65" s="201">
        <v>41467</v>
      </c>
      <c r="D65" s="202">
        <v>688.1</v>
      </c>
      <c r="E65" s="51"/>
      <c r="F65" s="9"/>
      <c r="G65" s="18"/>
      <c r="H65" s="34"/>
      <c r="I65" s="9"/>
      <c r="J65" s="39"/>
      <c r="K65" s="34"/>
      <c r="L65" s="9"/>
      <c r="M65" s="39"/>
      <c r="N65" s="51"/>
      <c r="O65" s="23"/>
    </row>
    <row r="66" spans="1:15" s="6" customFormat="1" ht="15">
      <c r="A66" s="42" t="s">
        <v>180</v>
      </c>
      <c r="B66" s="200" t="s">
        <v>181</v>
      </c>
      <c r="C66" s="201">
        <v>41481</v>
      </c>
      <c r="D66" s="202">
        <v>627.64</v>
      </c>
      <c r="E66" s="51"/>
      <c r="F66" s="9"/>
      <c r="G66" s="18"/>
      <c r="H66" s="34"/>
      <c r="I66" s="9"/>
      <c r="J66" s="39"/>
      <c r="K66" s="34"/>
      <c r="L66" s="9"/>
      <c r="M66" s="39"/>
      <c r="N66" s="51"/>
      <c r="O66" s="23"/>
    </row>
    <row r="67" spans="1:15" s="6" customFormat="1" ht="15">
      <c r="A67" s="42" t="s">
        <v>183</v>
      </c>
      <c r="B67" s="200" t="s">
        <v>182</v>
      </c>
      <c r="C67" s="201">
        <v>41481</v>
      </c>
      <c r="D67" s="202">
        <v>1560.23</v>
      </c>
      <c r="E67" s="51"/>
      <c r="F67" s="9"/>
      <c r="G67" s="18"/>
      <c r="H67" s="34"/>
      <c r="I67" s="9"/>
      <c r="J67" s="39"/>
      <c r="K67" s="34"/>
      <c r="L67" s="9"/>
      <c r="M67" s="39"/>
      <c r="N67" s="51"/>
      <c r="O67" s="23"/>
    </row>
    <row r="68" spans="1:15" s="6" customFormat="1" ht="15">
      <c r="A68" s="42" t="s">
        <v>189</v>
      </c>
      <c r="B68" s="34"/>
      <c r="C68" s="9"/>
      <c r="D68" s="39"/>
      <c r="E68" s="200" t="s">
        <v>188</v>
      </c>
      <c r="F68" s="201">
        <v>41509</v>
      </c>
      <c r="G68" s="202">
        <v>184.33</v>
      </c>
      <c r="H68" s="34"/>
      <c r="I68" s="9"/>
      <c r="J68" s="39"/>
      <c r="K68" s="34"/>
      <c r="L68" s="9"/>
      <c r="M68" s="39"/>
      <c r="N68" s="51"/>
      <c r="O68" s="23"/>
    </row>
    <row r="69" spans="1:15" s="6" customFormat="1" ht="15">
      <c r="A69" s="42" t="s">
        <v>194</v>
      </c>
      <c r="B69" s="34"/>
      <c r="C69" s="9"/>
      <c r="D69" s="39"/>
      <c r="E69" s="200" t="s">
        <v>193</v>
      </c>
      <c r="F69" s="201">
        <v>41544</v>
      </c>
      <c r="G69" s="202">
        <v>688.69</v>
      </c>
      <c r="H69" s="34"/>
      <c r="I69" s="9"/>
      <c r="J69" s="39"/>
      <c r="K69" s="34"/>
      <c r="L69" s="9"/>
      <c r="M69" s="39"/>
      <c r="N69" s="51"/>
      <c r="O69" s="23"/>
    </row>
    <row r="70" spans="1:15" s="6" customFormat="1" ht="15">
      <c r="A70" s="42" t="s">
        <v>196</v>
      </c>
      <c r="B70" s="34"/>
      <c r="C70" s="9"/>
      <c r="D70" s="39"/>
      <c r="E70" s="200" t="s">
        <v>195</v>
      </c>
      <c r="F70" s="201">
        <v>41558</v>
      </c>
      <c r="G70" s="202">
        <v>183.34</v>
      </c>
      <c r="H70" s="34"/>
      <c r="I70" s="9"/>
      <c r="J70" s="39"/>
      <c r="K70" s="34"/>
      <c r="L70" s="9"/>
      <c r="M70" s="39"/>
      <c r="N70" s="51"/>
      <c r="O70" s="23"/>
    </row>
    <row r="71" spans="1:15" s="6" customFormat="1" ht="15">
      <c r="A71" s="42" t="s">
        <v>213</v>
      </c>
      <c r="B71" s="34"/>
      <c r="C71" s="9"/>
      <c r="D71" s="39"/>
      <c r="E71" s="200" t="s">
        <v>214</v>
      </c>
      <c r="F71" s="201">
        <v>41547</v>
      </c>
      <c r="G71" s="202">
        <v>1358.88</v>
      </c>
      <c r="H71" s="34"/>
      <c r="I71" s="9"/>
      <c r="J71" s="39"/>
      <c r="K71" s="34"/>
      <c r="L71" s="9"/>
      <c r="M71" s="39"/>
      <c r="N71" s="51"/>
      <c r="O71" s="23"/>
    </row>
    <row r="72" spans="1:15" s="6" customFormat="1" ht="15">
      <c r="A72" s="42" t="s">
        <v>242</v>
      </c>
      <c r="B72" s="34"/>
      <c r="C72" s="9"/>
      <c r="D72" s="39"/>
      <c r="E72" s="214" t="s">
        <v>243</v>
      </c>
      <c r="F72" s="201">
        <v>41578</v>
      </c>
      <c r="G72" s="173">
        <v>96</v>
      </c>
      <c r="H72" s="65"/>
      <c r="I72" s="74"/>
      <c r="J72" s="54"/>
      <c r="K72" s="34"/>
      <c r="L72" s="9"/>
      <c r="M72" s="39"/>
      <c r="N72" s="51"/>
      <c r="O72" s="23"/>
    </row>
    <row r="73" spans="1:15" s="6" customFormat="1" ht="15">
      <c r="A73" s="42" t="s">
        <v>244</v>
      </c>
      <c r="B73" s="34"/>
      <c r="C73" s="9"/>
      <c r="D73" s="39"/>
      <c r="E73" s="214"/>
      <c r="F73" s="201"/>
      <c r="G73" s="173"/>
      <c r="H73" s="65">
        <v>536</v>
      </c>
      <c r="I73" s="218">
        <v>41534</v>
      </c>
      <c r="J73" s="229">
        <v>260</v>
      </c>
      <c r="K73" s="34"/>
      <c r="L73" s="9"/>
      <c r="M73" s="39"/>
      <c r="N73" s="51"/>
      <c r="O73" s="23"/>
    </row>
    <row r="74" spans="1:15" s="6" customFormat="1" ht="15">
      <c r="A74" s="42" t="s">
        <v>220</v>
      </c>
      <c r="B74" s="34"/>
      <c r="C74" s="9"/>
      <c r="D74" s="39"/>
      <c r="E74" s="214"/>
      <c r="F74" s="201"/>
      <c r="G74" s="173"/>
      <c r="H74" s="200" t="s">
        <v>221</v>
      </c>
      <c r="I74" s="201">
        <v>41635</v>
      </c>
      <c r="J74" s="202">
        <v>3741.06</v>
      </c>
      <c r="K74" s="34"/>
      <c r="L74" s="9"/>
      <c r="M74" s="39"/>
      <c r="N74" s="51"/>
      <c r="O74" s="23"/>
    </row>
    <row r="75" spans="1:15" s="6" customFormat="1" ht="15">
      <c r="A75" s="43" t="s">
        <v>222</v>
      </c>
      <c r="B75" s="34"/>
      <c r="C75" s="9"/>
      <c r="D75" s="39"/>
      <c r="E75" s="51"/>
      <c r="F75" s="9"/>
      <c r="G75" s="18"/>
      <c r="H75" s="200" t="s">
        <v>223</v>
      </c>
      <c r="I75" s="201">
        <v>41628</v>
      </c>
      <c r="J75" s="202">
        <v>209.97</v>
      </c>
      <c r="K75" s="200"/>
      <c r="L75" s="201"/>
      <c r="M75" s="202"/>
      <c r="N75" s="51"/>
      <c r="O75" s="23"/>
    </row>
    <row r="76" spans="1:15" s="6" customFormat="1" ht="15">
      <c r="A76" s="43" t="s">
        <v>225</v>
      </c>
      <c r="B76" s="65"/>
      <c r="C76" s="74"/>
      <c r="D76" s="54"/>
      <c r="E76" s="66"/>
      <c r="F76" s="74"/>
      <c r="G76" s="20"/>
      <c r="H76" s="200" t="s">
        <v>224</v>
      </c>
      <c r="I76" s="201">
        <v>41639</v>
      </c>
      <c r="J76" s="202">
        <v>7619.42</v>
      </c>
      <c r="K76" s="200"/>
      <c r="L76" s="201"/>
      <c r="M76" s="202"/>
      <c r="N76" s="51"/>
      <c r="O76" s="23"/>
    </row>
    <row r="77" spans="1:15" s="6" customFormat="1" ht="15">
      <c r="A77" s="43" t="s">
        <v>226</v>
      </c>
      <c r="B77" s="65"/>
      <c r="C77" s="74"/>
      <c r="D77" s="54"/>
      <c r="E77" s="66"/>
      <c r="F77" s="74"/>
      <c r="G77" s="20"/>
      <c r="H77" s="200" t="s">
        <v>227</v>
      </c>
      <c r="I77" s="201">
        <v>41656</v>
      </c>
      <c r="J77" s="202">
        <v>445.14</v>
      </c>
      <c r="K77" s="200"/>
      <c r="L77" s="201"/>
      <c r="M77" s="202"/>
      <c r="N77" s="51"/>
      <c r="O77" s="23"/>
    </row>
    <row r="78" spans="1:15" s="6" customFormat="1" ht="18.75" customHeight="1">
      <c r="A78" s="43" t="s">
        <v>230</v>
      </c>
      <c r="B78" s="65"/>
      <c r="C78" s="74"/>
      <c r="D78" s="54"/>
      <c r="E78" s="66"/>
      <c r="F78" s="74"/>
      <c r="G78" s="20"/>
      <c r="H78" s="200"/>
      <c r="I78" s="201"/>
      <c r="J78" s="202"/>
      <c r="K78" s="200" t="s">
        <v>231</v>
      </c>
      <c r="L78" s="201">
        <v>41677</v>
      </c>
      <c r="M78" s="202">
        <v>1500</v>
      </c>
      <c r="N78" s="51"/>
      <c r="O78" s="23"/>
    </row>
    <row r="79" spans="1:15" s="6" customFormat="1" ht="15">
      <c r="A79" s="43" t="s">
        <v>228</v>
      </c>
      <c r="B79" s="65"/>
      <c r="C79" s="74"/>
      <c r="D79" s="54"/>
      <c r="E79" s="66"/>
      <c r="F79" s="74"/>
      <c r="G79" s="20"/>
      <c r="H79" s="200"/>
      <c r="I79" s="201"/>
      <c r="J79" s="202"/>
      <c r="K79" s="200" t="s">
        <v>229</v>
      </c>
      <c r="L79" s="201">
        <v>41677</v>
      </c>
      <c r="M79" s="202">
        <v>237.28</v>
      </c>
      <c r="N79" s="51"/>
      <c r="O79" s="23"/>
    </row>
    <row r="80" spans="1:15" s="6" customFormat="1" ht="15">
      <c r="A80" s="42" t="s">
        <v>239</v>
      </c>
      <c r="B80" s="34"/>
      <c r="C80" s="9"/>
      <c r="D80" s="39"/>
      <c r="E80" s="51"/>
      <c r="F80" s="9"/>
      <c r="G80" s="18"/>
      <c r="H80" s="34"/>
      <c r="I80" s="9"/>
      <c r="J80" s="39"/>
      <c r="K80" s="200" t="s">
        <v>240</v>
      </c>
      <c r="L80" s="201">
        <v>41696</v>
      </c>
      <c r="M80" s="202">
        <v>776.16</v>
      </c>
      <c r="N80" s="51"/>
      <c r="O80" s="23"/>
    </row>
    <row r="81" spans="1:15" s="6" customFormat="1" ht="15">
      <c r="A81" s="43" t="s">
        <v>165</v>
      </c>
      <c r="B81" s="65"/>
      <c r="C81" s="74"/>
      <c r="D81" s="54"/>
      <c r="E81" s="66"/>
      <c r="F81" s="74"/>
      <c r="G81" s="20"/>
      <c r="H81" s="200"/>
      <c r="I81" s="201"/>
      <c r="J81" s="202"/>
      <c r="K81" s="200" t="s">
        <v>232</v>
      </c>
      <c r="L81" s="201">
        <v>41698</v>
      </c>
      <c r="M81" s="202">
        <v>4877.09</v>
      </c>
      <c r="N81" s="51"/>
      <c r="O81" s="23"/>
    </row>
    <row r="82" spans="1:15" s="6" customFormat="1" ht="15">
      <c r="A82" s="43" t="s">
        <v>237</v>
      </c>
      <c r="B82" s="65"/>
      <c r="C82" s="74"/>
      <c r="D82" s="54"/>
      <c r="E82" s="66"/>
      <c r="F82" s="74"/>
      <c r="G82" s="20"/>
      <c r="H82" s="200"/>
      <c r="I82" s="201"/>
      <c r="J82" s="202"/>
      <c r="K82" s="200" t="s">
        <v>238</v>
      </c>
      <c r="L82" s="201">
        <v>41719</v>
      </c>
      <c r="M82" s="202">
        <v>1841.22</v>
      </c>
      <c r="N82" s="51"/>
      <c r="O82" s="23"/>
    </row>
    <row r="83" spans="1:15" s="6" customFormat="1" ht="13.5" thickBot="1">
      <c r="A83" s="43"/>
      <c r="B83" s="65"/>
      <c r="C83" s="74"/>
      <c r="D83" s="54"/>
      <c r="E83" s="66"/>
      <c r="F83" s="74"/>
      <c r="G83" s="20"/>
      <c r="H83" s="65"/>
      <c r="I83" s="74"/>
      <c r="J83" s="54"/>
      <c r="K83" s="65"/>
      <c r="L83" s="74"/>
      <c r="M83" s="54"/>
      <c r="N83" s="51"/>
      <c r="O83" s="23"/>
    </row>
    <row r="84" spans="1:15" s="85" customFormat="1" ht="20.25" thickBot="1">
      <c r="A84" s="80" t="s">
        <v>4</v>
      </c>
      <c r="B84" s="81"/>
      <c r="C84" s="82"/>
      <c r="D84" s="86">
        <f>SUM(D63:D83)</f>
        <v>4164.43</v>
      </c>
      <c r="E84" s="87"/>
      <c r="F84" s="82"/>
      <c r="G84" s="86">
        <f>SUM(G63:G83)</f>
        <v>2511.24</v>
      </c>
      <c r="H84" s="88"/>
      <c r="I84" s="82"/>
      <c r="J84" s="86">
        <f>SUM(J63:J83)</f>
        <v>12275.59</v>
      </c>
      <c r="K84" s="88"/>
      <c r="L84" s="82"/>
      <c r="M84" s="86">
        <f>SUM(M63:M83)</f>
        <v>9920.44</v>
      </c>
      <c r="N84" s="53">
        <f>M84+J84+G84+D84</f>
        <v>28871.7</v>
      </c>
      <c r="O84" s="89"/>
    </row>
    <row r="85" spans="1:15" s="6" customFormat="1" ht="40.5" customHeight="1" hidden="1" thickBot="1">
      <c r="A85" s="275" t="s">
        <v>29</v>
      </c>
      <c r="B85" s="276"/>
      <c r="C85" s="276"/>
      <c r="D85" s="276"/>
      <c r="E85" s="276"/>
      <c r="F85" s="276"/>
      <c r="G85" s="276"/>
      <c r="H85" s="276"/>
      <c r="I85" s="276"/>
      <c r="J85" s="276"/>
      <c r="K85" s="276"/>
      <c r="L85" s="276"/>
      <c r="M85" s="276"/>
      <c r="N85" s="277"/>
      <c r="O85" s="67"/>
    </row>
    <row r="86" spans="1:15" s="6" customFormat="1" ht="12.75" hidden="1">
      <c r="A86" s="42"/>
      <c r="B86" s="34"/>
      <c r="C86" s="9"/>
      <c r="D86" s="39"/>
      <c r="E86" s="51"/>
      <c r="F86" s="9"/>
      <c r="G86" s="18"/>
      <c r="H86" s="34"/>
      <c r="I86" s="9"/>
      <c r="J86" s="39"/>
      <c r="K86" s="34"/>
      <c r="L86" s="9"/>
      <c r="M86" s="39"/>
      <c r="N86" s="51"/>
      <c r="O86" s="23"/>
    </row>
    <row r="87" spans="1:15" s="6" customFormat="1" ht="12.75" hidden="1">
      <c r="A87" s="42"/>
      <c r="B87" s="34"/>
      <c r="C87" s="9"/>
      <c r="D87" s="39"/>
      <c r="E87" s="51"/>
      <c r="F87" s="9"/>
      <c r="G87" s="18"/>
      <c r="H87" s="34"/>
      <c r="I87" s="9"/>
      <c r="J87" s="39"/>
      <c r="K87" s="34"/>
      <c r="L87" s="9"/>
      <c r="M87" s="39"/>
      <c r="N87" s="51"/>
      <c r="O87" s="23"/>
    </row>
    <row r="88" spans="1:15" s="6" customFormat="1" ht="12.75" hidden="1">
      <c r="A88" s="42"/>
      <c r="B88" s="34"/>
      <c r="C88" s="9"/>
      <c r="D88" s="39"/>
      <c r="E88" s="51"/>
      <c r="F88" s="9"/>
      <c r="G88" s="18"/>
      <c r="H88" s="34"/>
      <c r="I88" s="9"/>
      <c r="J88" s="39"/>
      <c r="K88" s="34"/>
      <c r="L88" s="9"/>
      <c r="M88" s="39"/>
      <c r="N88" s="51"/>
      <c r="O88" s="23"/>
    </row>
    <row r="89" spans="1:15" s="6" customFormat="1" ht="12.75" hidden="1">
      <c r="A89" s="42"/>
      <c r="B89" s="34"/>
      <c r="C89" s="9"/>
      <c r="D89" s="39"/>
      <c r="E89" s="51"/>
      <c r="F89" s="9"/>
      <c r="G89" s="18"/>
      <c r="H89" s="34"/>
      <c r="I89" s="9"/>
      <c r="J89" s="39"/>
      <c r="K89" s="34"/>
      <c r="L89" s="9"/>
      <c r="M89" s="39"/>
      <c r="N89" s="51"/>
      <c r="O89" s="23"/>
    </row>
    <row r="90" spans="1:15" s="6" customFormat="1" ht="13.5" hidden="1" thickBot="1">
      <c r="A90" s="42"/>
      <c r="B90" s="34"/>
      <c r="C90" s="9"/>
      <c r="D90" s="39"/>
      <c r="E90" s="51"/>
      <c r="F90" s="9"/>
      <c r="G90" s="18"/>
      <c r="H90" s="34"/>
      <c r="I90" s="9"/>
      <c r="J90" s="39"/>
      <c r="K90" s="34"/>
      <c r="L90" s="9"/>
      <c r="M90" s="39"/>
      <c r="N90" s="51"/>
      <c r="O90" s="23"/>
    </row>
    <row r="91" spans="1:15" s="85" customFormat="1" ht="20.25" hidden="1" thickBot="1">
      <c r="A91" s="80" t="s">
        <v>4</v>
      </c>
      <c r="B91" s="88"/>
      <c r="C91" s="90"/>
      <c r="D91" s="92">
        <f>SUM(D86:D90)</f>
        <v>0</v>
      </c>
      <c r="E91" s="93"/>
      <c r="F91" s="92"/>
      <c r="G91" s="92">
        <f>SUM(G86:G90)</f>
        <v>0</v>
      </c>
      <c r="H91" s="92"/>
      <c r="I91" s="92"/>
      <c r="J91" s="92">
        <f>SUM(J86:J90)</f>
        <v>0</v>
      </c>
      <c r="K91" s="92"/>
      <c r="L91" s="92"/>
      <c r="M91" s="92">
        <f>SUM(M86:M90)</f>
        <v>0</v>
      </c>
      <c r="N91" s="83"/>
      <c r="O91" s="91"/>
    </row>
    <row r="92" spans="1:15" s="6" customFormat="1" ht="20.25" thickBot="1">
      <c r="A92" s="70"/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67"/>
    </row>
    <row r="93" spans="1:15" s="2" customFormat="1" ht="20.25" thickBot="1">
      <c r="A93" s="46" t="s">
        <v>6</v>
      </c>
      <c r="B93" s="71"/>
      <c r="C93" s="68"/>
      <c r="D93" s="72">
        <f>D91+D84+D61+D52</f>
        <v>131691</v>
      </c>
      <c r="E93" s="69"/>
      <c r="F93" s="68"/>
      <c r="G93" s="72">
        <f>G91+G84+G61+G52</f>
        <v>150731.3</v>
      </c>
      <c r="H93" s="69"/>
      <c r="I93" s="68"/>
      <c r="J93" s="72">
        <f>J91+J84+J61+J52</f>
        <v>200022.31</v>
      </c>
      <c r="K93" s="69"/>
      <c r="L93" s="68"/>
      <c r="M93" s="72">
        <f>M91+M84+M61+M52</f>
        <v>259720.52</v>
      </c>
      <c r="N93" s="53">
        <f>M93+J93+G93+D93</f>
        <v>742165.13</v>
      </c>
      <c r="O93" s="27">
        <f>M93+J93+G93+D93</f>
        <v>742165.13</v>
      </c>
    </row>
    <row r="94" spans="1:13" s="2" customFormat="1" ht="13.5" thickBot="1">
      <c r="A94" s="57"/>
      <c r="B94" s="55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</row>
    <row r="95" spans="1:14" s="2" customFormat="1" ht="13.5" thickBot="1">
      <c r="A95" s="55"/>
      <c r="B95" s="58" t="s">
        <v>18</v>
      </c>
      <c r="C95" s="58" t="s">
        <v>19</v>
      </c>
      <c r="D95" s="58" t="s">
        <v>20</v>
      </c>
      <c r="E95" s="58" t="s">
        <v>21</v>
      </c>
      <c r="F95" s="58" t="s">
        <v>22</v>
      </c>
      <c r="G95" s="58" t="s">
        <v>23</v>
      </c>
      <c r="H95" s="58" t="s">
        <v>24</v>
      </c>
      <c r="I95" s="58" t="s">
        <v>25</v>
      </c>
      <c r="J95" s="58" t="s">
        <v>14</v>
      </c>
      <c r="K95" s="58" t="s">
        <v>15</v>
      </c>
      <c r="L95" s="58" t="s">
        <v>16</v>
      </c>
      <c r="M95" s="58" t="s">
        <v>17</v>
      </c>
      <c r="N95" s="58" t="s">
        <v>27</v>
      </c>
    </row>
    <row r="96" spans="1:14" s="2" customFormat="1" ht="13.5" thickBot="1">
      <c r="A96" s="57" t="s">
        <v>13</v>
      </c>
      <c r="B96" s="64">
        <v>43177.03</v>
      </c>
      <c r="C96" s="55">
        <f>B104</f>
        <v>100546.68</v>
      </c>
      <c r="D96" s="55">
        <f aca="true" t="shared" si="6" ref="D96:M96">C104</f>
        <v>156387.5</v>
      </c>
      <c r="E96" s="56">
        <f>D104</f>
        <v>87561.04</v>
      </c>
      <c r="F96" s="55">
        <f t="shared" si="6"/>
        <v>143069.3</v>
      </c>
      <c r="G96" s="55">
        <f t="shared" si="6"/>
        <v>209533.49</v>
      </c>
      <c r="H96" s="56">
        <f t="shared" si="6"/>
        <v>116214.36</v>
      </c>
      <c r="I96" s="55">
        <f t="shared" si="6"/>
        <v>175448.1</v>
      </c>
      <c r="J96" s="55">
        <f t="shared" si="6"/>
        <v>236042.11</v>
      </c>
      <c r="K96" s="56">
        <f t="shared" si="6"/>
        <v>96871.98</v>
      </c>
      <c r="L96" s="55">
        <f t="shared" si="6"/>
        <v>154861.83</v>
      </c>
      <c r="M96" s="55">
        <f t="shared" si="6"/>
        <v>215348.3</v>
      </c>
      <c r="N96" s="55"/>
    </row>
    <row r="97" spans="1:14" s="2" customFormat="1" ht="13.5" thickBot="1">
      <c r="A97" s="57" t="s">
        <v>11</v>
      </c>
      <c r="B97" s="55">
        <f aca="true" t="shared" si="7" ref="B97:M97">SUM(B98:B99)</f>
        <v>61019.08</v>
      </c>
      <c r="C97" s="55">
        <f t="shared" si="7"/>
        <v>61019.08</v>
      </c>
      <c r="D97" s="55">
        <f t="shared" si="7"/>
        <v>61019.08</v>
      </c>
      <c r="E97" s="55">
        <f t="shared" si="7"/>
        <v>56512.4</v>
      </c>
      <c r="F97" s="55">
        <f t="shared" si="7"/>
        <v>59892.41</v>
      </c>
      <c r="G97" s="55">
        <f t="shared" si="7"/>
        <v>59892.41</v>
      </c>
      <c r="H97" s="55">
        <f t="shared" si="7"/>
        <v>59892.41</v>
      </c>
      <c r="I97" s="55">
        <f t="shared" si="7"/>
        <v>59892.41</v>
      </c>
      <c r="J97" s="55">
        <f t="shared" si="7"/>
        <v>59892.41</v>
      </c>
      <c r="K97" s="55">
        <f t="shared" si="7"/>
        <v>59892.41</v>
      </c>
      <c r="L97" s="55">
        <f t="shared" si="7"/>
        <v>59892.41</v>
      </c>
      <c r="M97" s="55">
        <f t="shared" si="7"/>
        <v>59892.41</v>
      </c>
      <c r="N97" s="55">
        <f aca="true" t="shared" si="8" ref="N97:N102">+SUM(B97:M97)</f>
        <v>718708.92</v>
      </c>
    </row>
    <row r="98" spans="1:14" s="206" customFormat="1" ht="13.5" thickBot="1">
      <c r="A98" s="99" t="s">
        <v>54</v>
      </c>
      <c r="B98" s="205">
        <v>46401.59</v>
      </c>
      <c r="C98" s="205">
        <v>46401.59</v>
      </c>
      <c r="D98" s="205">
        <v>46401.59</v>
      </c>
      <c r="E98" s="205">
        <v>41894.91</v>
      </c>
      <c r="F98" s="205">
        <v>45274.92</v>
      </c>
      <c r="G98" s="205">
        <v>45274.92</v>
      </c>
      <c r="H98" s="205">
        <v>45274.92</v>
      </c>
      <c r="I98" s="205">
        <v>45274.92</v>
      </c>
      <c r="J98" s="205">
        <v>45274.92</v>
      </c>
      <c r="K98" s="205">
        <v>45274.92</v>
      </c>
      <c r="L98" s="205">
        <v>45274.92</v>
      </c>
      <c r="M98" s="205">
        <v>45274.92</v>
      </c>
      <c r="N98" s="205">
        <f t="shared" si="8"/>
        <v>543299.04</v>
      </c>
    </row>
    <row r="99" spans="1:14" s="206" customFormat="1" ht="13.5" thickBot="1">
      <c r="A99" s="99" t="s">
        <v>62</v>
      </c>
      <c r="B99" s="205">
        <v>14617.49</v>
      </c>
      <c r="C99" s="205">
        <v>14617.49</v>
      </c>
      <c r="D99" s="205">
        <v>14617.49</v>
      </c>
      <c r="E99" s="205">
        <v>14617.49</v>
      </c>
      <c r="F99" s="205">
        <v>14617.49</v>
      </c>
      <c r="G99" s="205">
        <v>14617.49</v>
      </c>
      <c r="H99" s="205">
        <v>14617.49</v>
      </c>
      <c r="I99" s="205">
        <v>14617.49</v>
      </c>
      <c r="J99" s="205">
        <v>14617.49</v>
      </c>
      <c r="K99" s="205">
        <v>14617.49</v>
      </c>
      <c r="L99" s="205">
        <v>14617.49</v>
      </c>
      <c r="M99" s="205">
        <v>14617.49</v>
      </c>
      <c r="N99" s="205">
        <f t="shared" si="8"/>
        <v>175409.88</v>
      </c>
    </row>
    <row r="100" spans="1:14" s="2" customFormat="1" ht="13.5" thickBot="1">
      <c r="A100" s="57" t="s">
        <v>12</v>
      </c>
      <c r="B100" s="55">
        <f aca="true" t="shared" si="9" ref="B100:M100">SUM(B101:B102)</f>
        <v>57369.65</v>
      </c>
      <c r="C100" s="55">
        <f>SUM(C101:C102)</f>
        <v>55840.82</v>
      </c>
      <c r="D100" s="55">
        <f t="shared" si="9"/>
        <v>62864.54</v>
      </c>
      <c r="E100" s="55">
        <f t="shared" si="9"/>
        <v>55508.26</v>
      </c>
      <c r="F100" s="55">
        <f>SUM(F101:F102)</f>
        <v>66464.19</v>
      </c>
      <c r="G100" s="55">
        <f>SUM(G101:G102)</f>
        <v>57412.17</v>
      </c>
      <c r="H100" s="55">
        <f t="shared" si="9"/>
        <v>59233.74</v>
      </c>
      <c r="I100" s="55">
        <f t="shared" si="9"/>
        <v>60594.01</v>
      </c>
      <c r="J100" s="55">
        <f t="shared" si="9"/>
        <v>60852.18</v>
      </c>
      <c r="K100" s="55">
        <f t="shared" si="9"/>
        <v>57989.85</v>
      </c>
      <c r="L100" s="55">
        <f t="shared" si="9"/>
        <v>60486.47</v>
      </c>
      <c r="M100" s="55">
        <f t="shared" si="9"/>
        <v>58387.54</v>
      </c>
      <c r="N100" s="55">
        <f t="shared" si="8"/>
        <v>713003.42</v>
      </c>
    </row>
    <row r="101" spans="1:14" s="206" customFormat="1" ht="13.5" thickBot="1">
      <c r="A101" s="99" t="s">
        <v>54</v>
      </c>
      <c r="B101" s="205">
        <v>42752.17</v>
      </c>
      <c r="C101" s="205">
        <v>41223.34</v>
      </c>
      <c r="D101" s="205">
        <v>48247.06</v>
      </c>
      <c r="E101" s="205">
        <v>40890.78</v>
      </c>
      <c r="F101" s="205">
        <v>51846.71</v>
      </c>
      <c r="G101" s="205">
        <v>42794.69</v>
      </c>
      <c r="H101" s="205">
        <v>44616.26</v>
      </c>
      <c r="I101" s="205">
        <v>45976.53</v>
      </c>
      <c r="J101" s="205">
        <v>46234.7</v>
      </c>
      <c r="K101" s="205">
        <v>43372.37</v>
      </c>
      <c r="L101" s="205">
        <v>45868.99</v>
      </c>
      <c r="M101" s="205">
        <v>43770.06</v>
      </c>
      <c r="N101" s="205">
        <f t="shared" si="8"/>
        <v>537593.66</v>
      </c>
    </row>
    <row r="102" spans="1:14" s="206" customFormat="1" ht="13.5" thickBot="1">
      <c r="A102" s="99" t="s">
        <v>62</v>
      </c>
      <c r="B102" s="205">
        <v>14617.48</v>
      </c>
      <c r="C102" s="205">
        <v>14617.48</v>
      </c>
      <c r="D102" s="205">
        <v>14617.48</v>
      </c>
      <c r="E102" s="205">
        <v>14617.48</v>
      </c>
      <c r="F102" s="205">
        <v>14617.48</v>
      </c>
      <c r="G102" s="205">
        <v>14617.48</v>
      </c>
      <c r="H102" s="205">
        <v>14617.48</v>
      </c>
      <c r="I102" s="205">
        <v>14617.48</v>
      </c>
      <c r="J102" s="205">
        <v>14617.48</v>
      </c>
      <c r="K102" s="205">
        <v>14617.48</v>
      </c>
      <c r="L102" s="205">
        <v>14617.48</v>
      </c>
      <c r="M102" s="205">
        <v>14617.48</v>
      </c>
      <c r="N102" s="205">
        <f t="shared" si="8"/>
        <v>175409.76</v>
      </c>
    </row>
    <row r="103" spans="1:14" s="2" customFormat="1" ht="13.5" thickBot="1">
      <c r="A103" s="57" t="s">
        <v>55</v>
      </c>
      <c r="B103" s="55">
        <f aca="true" t="shared" si="10" ref="B103:M103">B100-B97</f>
        <v>-3649.43</v>
      </c>
      <c r="C103" s="55">
        <f t="shared" si="10"/>
        <v>-5178.26</v>
      </c>
      <c r="D103" s="55">
        <f t="shared" si="10"/>
        <v>1845.46</v>
      </c>
      <c r="E103" s="55">
        <f t="shared" si="10"/>
        <v>-1004.14</v>
      </c>
      <c r="F103" s="55">
        <f t="shared" si="10"/>
        <v>6571.78</v>
      </c>
      <c r="G103" s="55">
        <f t="shared" si="10"/>
        <v>-2480.24000000001</v>
      </c>
      <c r="H103" s="55">
        <f t="shared" si="10"/>
        <v>-658.670000000006</v>
      </c>
      <c r="I103" s="55">
        <f t="shared" si="10"/>
        <v>701.599999999999</v>
      </c>
      <c r="J103" s="55">
        <f t="shared" si="10"/>
        <v>959.769999999997</v>
      </c>
      <c r="K103" s="55">
        <f t="shared" si="10"/>
        <v>-1902.56</v>
      </c>
      <c r="L103" s="55">
        <f t="shared" si="10"/>
        <v>594.059999999998</v>
      </c>
      <c r="M103" s="55">
        <f t="shared" si="10"/>
        <v>-1504.87</v>
      </c>
      <c r="N103" s="55">
        <f>M103+L103+K103+J103+I103+H103+G103+F103+E103+D103+C103+B103</f>
        <v>-5705.50000000002</v>
      </c>
    </row>
    <row r="104" spans="1:14" s="2" customFormat="1" ht="13.5" thickBot="1">
      <c r="A104" s="57" t="s">
        <v>26</v>
      </c>
      <c r="B104" s="55">
        <f>B96+B100</f>
        <v>100546.68</v>
      </c>
      <c r="C104" s="55">
        <f>C96+C100</f>
        <v>156387.5</v>
      </c>
      <c r="D104" s="207">
        <f>D96+D100-D93</f>
        <v>87561.04</v>
      </c>
      <c r="E104" s="55">
        <f>E96+E100</f>
        <v>143069.3</v>
      </c>
      <c r="F104" s="55">
        <f>F96+F100</f>
        <v>209533.49</v>
      </c>
      <c r="G104" s="207">
        <f>G96+G100-G93</f>
        <v>116214.36</v>
      </c>
      <c r="H104" s="55">
        <f>H96+H100</f>
        <v>175448.1</v>
      </c>
      <c r="I104" s="55">
        <f>I96+I100</f>
        <v>236042.11</v>
      </c>
      <c r="J104" s="207">
        <f>J96+J100-J93</f>
        <v>96871.98</v>
      </c>
      <c r="K104" s="55">
        <f>K96+K100</f>
        <v>154861.83</v>
      </c>
      <c r="L104" s="55">
        <f>L96+L100</f>
        <v>215348.3</v>
      </c>
      <c r="M104" s="207">
        <f>M96+M100-M93</f>
        <v>14015.32</v>
      </c>
      <c r="N104" s="55"/>
    </row>
    <row r="105" spans="7:14" s="2" customFormat="1" ht="57" customHeight="1">
      <c r="G105" s="36"/>
      <c r="H105" s="248" t="s">
        <v>235</v>
      </c>
      <c r="I105" s="248"/>
      <c r="J105" s="248"/>
      <c r="K105" s="248"/>
      <c r="L105" s="250" t="s">
        <v>234</v>
      </c>
      <c r="M105" s="250"/>
      <c r="N105" s="250"/>
    </row>
    <row r="106" spans="8:14" s="2" customFormat="1" ht="72" customHeight="1">
      <c r="H106" s="249" t="s">
        <v>236</v>
      </c>
      <c r="I106" s="249"/>
      <c r="J106" s="249"/>
      <c r="K106" s="249"/>
      <c r="L106" s="251" t="s">
        <v>245</v>
      </c>
      <c r="M106" s="251"/>
      <c r="N106" s="251"/>
    </row>
    <row r="107" s="2" customFormat="1" ht="12.75"/>
    <row r="108" spans="8:13" s="2" customFormat="1" ht="15">
      <c r="H108" s="267" t="s">
        <v>198</v>
      </c>
      <c r="I108" s="267"/>
      <c r="J108" s="267"/>
      <c r="K108" s="208">
        <f>O93</f>
        <v>742165.13</v>
      </c>
      <c r="L108" s="209"/>
      <c r="M108" s="209"/>
    </row>
    <row r="109" spans="8:13" s="2" customFormat="1" ht="15">
      <c r="H109" s="267" t="s">
        <v>199</v>
      </c>
      <c r="I109" s="267"/>
      <c r="J109" s="267"/>
      <c r="K109" s="208">
        <f>N97</f>
        <v>718708.92</v>
      </c>
      <c r="L109" s="209"/>
      <c r="M109" s="209"/>
    </row>
    <row r="110" spans="8:13" s="2" customFormat="1" ht="15">
      <c r="H110" s="267" t="s">
        <v>200</v>
      </c>
      <c r="I110" s="267"/>
      <c r="J110" s="267"/>
      <c r="K110" s="208">
        <f>N100</f>
        <v>713003.42</v>
      </c>
      <c r="L110" s="209"/>
      <c r="M110" s="209"/>
    </row>
    <row r="111" spans="8:13" s="2" customFormat="1" ht="15">
      <c r="H111" s="267" t="s">
        <v>201</v>
      </c>
      <c r="I111" s="267"/>
      <c r="J111" s="267"/>
      <c r="K111" s="208">
        <f>K110-K109</f>
        <v>-5705.5</v>
      </c>
      <c r="L111" s="209"/>
      <c r="M111" s="209"/>
    </row>
    <row r="112" spans="8:13" s="2" customFormat="1" ht="15">
      <c r="H112" s="252" t="s">
        <v>202</v>
      </c>
      <c r="I112" s="252"/>
      <c r="J112" s="252"/>
      <c r="K112" s="208">
        <f>K109-K108</f>
        <v>-23456.21</v>
      </c>
      <c r="L112" s="210"/>
      <c r="M112" s="209"/>
    </row>
    <row r="113" spans="8:13" s="2" customFormat="1" ht="15">
      <c r="H113" s="253" t="s">
        <v>203</v>
      </c>
      <c r="I113" s="254"/>
      <c r="J113" s="255"/>
      <c r="K113" s="208">
        <f>B96</f>
        <v>43177.03</v>
      </c>
      <c r="L113" s="209"/>
      <c r="M113" s="209"/>
    </row>
    <row r="114" spans="8:13" s="2" customFormat="1" ht="15.75">
      <c r="H114" s="257" t="s">
        <v>204</v>
      </c>
      <c r="I114" s="257"/>
      <c r="J114" s="257"/>
      <c r="K114" s="211">
        <f>K113+K112+K111+K115</f>
        <v>14015.32</v>
      </c>
      <c r="L114" s="209"/>
      <c r="M114" s="209"/>
    </row>
    <row r="115" spans="8:13" s="2" customFormat="1" ht="15">
      <c r="H115" s="256"/>
      <c r="I115" s="256"/>
      <c r="J115" s="256"/>
      <c r="K115" s="212"/>
      <c r="L115" s="209"/>
      <c r="M115" s="209"/>
    </row>
    <row r="116" spans="8:13" s="2" customFormat="1" ht="15">
      <c r="H116" s="252" t="s">
        <v>205</v>
      </c>
      <c r="I116" s="252"/>
      <c r="J116" s="252"/>
      <c r="K116" s="212">
        <f>D84+G84+J84+M84</f>
        <v>28871.7</v>
      </c>
      <c r="L116" s="266" t="s">
        <v>211</v>
      </c>
      <c r="M116" s="266"/>
    </row>
    <row r="117" spans="8:13" s="2" customFormat="1" ht="15">
      <c r="H117" s="256" t="s">
        <v>206</v>
      </c>
      <c r="I117" s="256"/>
      <c r="J117" s="256"/>
      <c r="K117" s="212">
        <v>26488.51</v>
      </c>
      <c r="L117" s="209"/>
      <c r="M117" s="209"/>
    </row>
    <row r="118" spans="8:13" s="2" customFormat="1" ht="15">
      <c r="H118" s="256" t="s">
        <v>207</v>
      </c>
      <c r="I118" s="256"/>
      <c r="J118" s="256"/>
      <c r="K118" s="212">
        <v>-22102.86</v>
      </c>
      <c r="L118" s="209"/>
      <c r="M118" s="209"/>
    </row>
    <row r="119" spans="8:13" ht="15">
      <c r="H119" s="256" t="s">
        <v>208</v>
      </c>
      <c r="I119" s="256"/>
      <c r="J119" s="256"/>
      <c r="K119" s="212">
        <f>K117+K118</f>
        <v>4385.65</v>
      </c>
      <c r="L119" s="209"/>
      <c r="M119" s="209"/>
    </row>
    <row r="120" spans="8:13" ht="15">
      <c r="H120" s="256" t="s">
        <v>209</v>
      </c>
      <c r="I120" s="256"/>
      <c r="J120" s="256"/>
      <c r="K120" s="212">
        <f>K119-K116</f>
        <v>-24486.05</v>
      </c>
      <c r="L120" s="210"/>
      <c r="M120" s="209"/>
    </row>
    <row r="121" spans="8:13" ht="15.75">
      <c r="H121" s="256" t="s">
        <v>210</v>
      </c>
      <c r="I121" s="256"/>
      <c r="J121" s="256"/>
      <c r="K121" s="213">
        <f>K112-K120</f>
        <v>1029.84</v>
      </c>
      <c r="L121" s="209"/>
      <c r="M121" s="209"/>
    </row>
  </sheetData>
  <sheetProtection/>
  <mergeCells count="32">
    <mergeCell ref="K55:K56"/>
    <mergeCell ref="L55:L56"/>
    <mergeCell ref="M55:M56"/>
    <mergeCell ref="A1:N1"/>
    <mergeCell ref="A85:N85"/>
    <mergeCell ref="A62:N62"/>
    <mergeCell ref="B2:D2"/>
    <mergeCell ref="E2:G2"/>
    <mergeCell ref="H2:J2"/>
    <mergeCell ref="K2:M2"/>
    <mergeCell ref="A4:O4"/>
    <mergeCell ref="A54:N54"/>
    <mergeCell ref="A28:A29"/>
    <mergeCell ref="L116:M116"/>
    <mergeCell ref="H117:J117"/>
    <mergeCell ref="H118:J118"/>
    <mergeCell ref="H108:J108"/>
    <mergeCell ref="H109:J109"/>
    <mergeCell ref="H110:J110"/>
    <mergeCell ref="H111:J111"/>
    <mergeCell ref="H119:J119"/>
    <mergeCell ref="H120:J120"/>
    <mergeCell ref="H121:J121"/>
    <mergeCell ref="H114:J114"/>
    <mergeCell ref="H115:J115"/>
    <mergeCell ref="H116:J116"/>
    <mergeCell ref="H105:K105"/>
    <mergeCell ref="H106:K106"/>
    <mergeCell ref="L105:N105"/>
    <mergeCell ref="L106:N106"/>
    <mergeCell ref="H112:J112"/>
    <mergeCell ref="H113:J113"/>
  </mergeCells>
  <printOptions/>
  <pageMargins left="0.7" right="0.7" top="0.75" bottom="0.75" header="0.3" footer="0.3"/>
  <pageSetup fitToHeight="0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Uzer</cp:lastModifiedBy>
  <cp:lastPrinted>2014-07-21T04:23:48Z</cp:lastPrinted>
  <dcterms:created xsi:type="dcterms:W3CDTF">2010-04-02T14:46:04Z</dcterms:created>
  <dcterms:modified xsi:type="dcterms:W3CDTF">2014-08-13T11:19:51Z</dcterms:modified>
  <cp:category/>
  <cp:version/>
  <cp:contentType/>
  <cp:contentStatus/>
</cp:coreProperties>
</file>